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320" windowWidth="15336" windowHeight="4380" tabRatio="759" activeTab="7"/>
  </bookViews>
  <sheets>
    <sheet name="BeniOku" sheetId="1" r:id="rId1"/>
    <sheet name="PV" sheetId="2" r:id="rId2"/>
    <sheet name="Bilesiklendirme" sheetId="3" r:id="rId3"/>
    <sheet name="Getiri Degisimi" sheetId="4" r:id="rId4"/>
    <sheet name="Zarar Olasılıgı" sheetId="5" r:id="rId5"/>
    <sheet name="Cesitlendirme Etkisi" sheetId="6" r:id="rId6"/>
    <sheet name="Hisse Optimizasyon" sheetId="7" r:id="rId7"/>
    <sheet name="Risk Algılama" sheetId="8" r:id="rId8"/>
    <sheet name="Boxplot Parameters XYZZ" sheetId="9" state="veryHidden" r:id="rId9"/>
  </sheets>
  <externalReferences>
    <externalReference r:id="rId12"/>
    <externalReference r:id="rId13"/>
    <externalReference r:id="rId14"/>
    <externalReference r:id="rId15"/>
  </externalReferences>
  <definedNames>
    <definedName name="apple_r">#REF!</definedName>
    <definedName name="bigp">#REF!</definedName>
    <definedName name="CORRMAT">'[4]Correlations'!$B$6:$I$13</definedName>
    <definedName name="dates">#REF!</definedName>
    <definedName name="Delta_neutral_nominal">'[4]VaR'!#REF!</definedName>
    <definedName name="e">'[2]Luenberger_EG6.11'!$B$6:$B$10</definedName>
    <definedName name="ER_A">'[1]Portfolio'!$B$2</definedName>
    <definedName name="ER_B">'[1]Portfolio'!$C$2</definedName>
    <definedName name="er_tan">'[1]Portfolio'!$O$36</definedName>
    <definedName name="Greek">'[4]VaR'!#REF!</definedName>
    <definedName name="months">#REF!</definedName>
    <definedName name="msft_r">#REF!</definedName>
    <definedName name="mu">#REF!</definedName>
    <definedName name="option_asset_postn">'[4]VaR'!#REF!</definedName>
    <definedName name="r_f">'[1]Portfolio'!$D$2</definedName>
    <definedName name="rapple">#REF!</definedName>
    <definedName name="rmsft">#REF!</definedName>
    <definedName name="SD_A">'[1]Portfolio'!$B$4</definedName>
    <definedName name="SD_B">'[1]Portfolio'!$C$4</definedName>
    <definedName name="sd_tan">'[1]Portfolio'!$O$38</definedName>
    <definedName name="sigma">#REF!</definedName>
    <definedName name="solver_adj" localSheetId="5" hidden="1">'Cesitlendirme Etkisi'!#REF!</definedName>
    <definedName name="solver_adj" localSheetId="6" hidden="1">'Hisse Optimizasyon'!$V$58:$V$62</definedName>
    <definedName name="solver_cvg" localSheetId="5" hidden="1">0.001</definedName>
    <definedName name="solver_cvg" localSheetId="6" hidden="1">0.0001</definedName>
    <definedName name="solver_drv" localSheetId="5" hidden="1">1</definedName>
    <definedName name="solver_drv" localSheetId="6" hidden="1">1</definedName>
    <definedName name="solver_est" localSheetId="5" hidden="1">1</definedName>
    <definedName name="solver_est" localSheetId="6" hidden="1">1</definedName>
    <definedName name="solver_itr" localSheetId="5" hidden="1">100</definedName>
    <definedName name="solver_itr" localSheetId="6" hidden="1">100</definedName>
    <definedName name="solver_lhs1" localSheetId="5" hidden="1">'Cesitlendirme Etkisi'!#REF!</definedName>
    <definedName name="solver_lhs1" localSheetId="6" hidden="1">'Hisse Optimizasyon'!$V$62</definedName>
    <definedName name="solver_lhs2" localSheetId="5" hidden="1">'Cesitlendirme Etkisi'!#REF!</definedName>
    <definedName name="solver_lhs2" localSheetId="6" hidden="1">'Hisse Optimizasyon'!$V$58</definedName>
    <definedName name="solver_lhs3" localSheetId="5" hidden="1">'Cesitlendirme Etkisi'!#REF!</definedName>
    <definedName name="solver_lhs3" localSheetId="6" hidden="1">'Hisse Optimizasyon'!$V$59</definedName>
    <definedName name="solver_lhs4" localSheetId="5" hidden="1">'Cesitlendirme Etkisi'!#REF!</definedName>
    <definedName name="solver_lhs4" localSheetId="6" hidden="1">'Hisse Optimizasyon'!$V$60</definedName>
    <definedName name="solver_lhs5" localSheetId="5" hidden="1">'Cesitlendirme Etkisi'!#REF!</definedName>
    <definedName name="solver_lhs5" localSheetId="6" hidden="1">'Hisse Optimizasyon'!$V$61</definedName>
    <definedName name="solver_lhs6" localSheetId="5" hidden="1">'Cesitlendirme Etkisi'!#REF!</definedName>
    <definedName name="solver_lhs6" localSheetId="6" hidden="1">'Hisse Optimizasyon'!$V$63</definedName>
    <definedName name="solver_lhs7" localSheetId="5" hidden="1">'Cesitlendirme Etkisi'!#REF!</definedName>
    <definedName name="solver_lhs7" localSheetId="6" hidden="1">'Hisse Optimizasyon'!$W$70</definedName>
    <definedName name="solver_lin" localSheetId="5" hidden="1">2</definedName>
    <definedName name="solver_lin" localSheetId="6" hidden="1">2</definedName>
    <definedName name="solver_neg" localSheetId="5" hidden="1">2</definedName>
    <definedName name="solver_neg" localSheetId="6" hidden="1">2</definedName>
    <definedName name="solver_num" localSheetId="5" hidden="1">6</definedName>
    <definedName name="solver_num" localSheetId="6" hidden="1">7</definedName>
    <definedName name="solver_nwt" localSheetId="5" hidden="1">1</definedName>
    <definedName name="solver_nwt" localSheetId="6" hidden="1">1</definedName>
    <definedName name="solver_opt" localSheetId="5" hidden="1">'Cesitlendirme Etkisi'!#REF!</definedName>
    <definedName name="solver_opt" localSheetId="6" hidden="1">'Hisse Optimizasyon'!$W$69</definedName>
    <definedName name="solver_pre" localSheetId="5" hidden="1">0.000001</definedName>
    <definedName name="solver_pre" localSheetId="6" hidden="1">0.000001</definedName>
    <definedName name="solver_rel1" localSheetId="5" hidden="1">2</definedName>
    <definedName name="solver_rel1" localSheetId="6" hidden="1">3</definedName>
    <definedName name="solver_rel2" localSheetId="5" hidden="1">3</definedName>
    <definedName name="solver_rel2" localSheetId="6" hidden="1">3</definedName>
    <definedName name="solver_rel3" localSheetId="5" hidden="1">3</definedName>
    <definedName name="solver_rel3" localSheetId="6" hidden="1">3</definedName>
    <definedName name="solver_rel4" localSheetId="5" hidden="1">3</definedName>
    <definedName name="solver_rel4" localSheetId="6" hidden="1">3</definedName>
    <definedName name="solver_rel5" localSheetId="5" hidden="1">3</definedName>
    <definedName name="solver_rel5" localSheetId="6" hidden="1">3</definedName>
    <definedName name="solver_rel6" localSheetId="5" hidden="1">3</definedName>
    <definedName name="solver_rel6" localSheetId="6" hidden="1">2</definedName>
    <definedName name="solver_rel7" localSheetId="5" hidden="1">3</definedName>
    <definedName name="solver_rel7" localSheetId="6" hidden="1">2</definedName>
    <definedName name="solver_rhs1" localSheetId="5" hidden="1">1</definedName>
    <definedName name="solver_rhs1" localSheetId="6" hidden="1">0</definedName>
    <definedName name="solver_rhs2" localSheetId="5" hidden="1">0</definedName>
    <definedName name="solver_rhs2" localSheetId="6" hidden="1">0</definedName>
    <definedName name="solver_rhs3" localSheetId="5" hidden="1">0</definedName>
    <definedName name="solver_rhs3" localSheetId="6" hidden="1">0</definedName>
    <definedName name="solver_rhs4" localSheetId="5" hidden="1">0</definedName>
    <definedName name="solver_rhs4" localSheetId="6" hidden="1">0</definedName>
    <definedName name="solver_rhs5" localSheetId="5" hidden="1">0</definedName>
    <definedName name="solver_rhs5" localSheetId="6" hidden="1">0</definedName>
    <definedName name="solver_rhs6" localSheetId="5" hidden="1">0.03</definedName>
    <definedName name="solver_rhs6" localSheetId="6" hidden="1">1</definedName>
    <definedName name="solver_rhs7" localSheetId="5" hidden="1">0.05</definedName>
    <definedName name="solver_rhs7" localSheetId="6" hidden="1">60</definedName>
    <definedName name="solver_scl" localSheetId="5" hidden="1">2</definedName>
    <definedName name="solver_scl" localSheetId="6" hidden="1">2</definedName>
    <definedName name="solver_sho" localSheetId="5" hidden="1">2</definedName>
    <definedName name="solver_sho" localSheetId="6" hidden="1">2</definedName>
    <definedName name="solver_tim" localSheetId="5" hidden="1">100</definedName>
    <definedName name="solver_tim" localSheetId="6" hidden="1">100</definedName>
    <definedName name="solver_tol" localSheetId="5" hidden="1">0.05</definedName>
    <definedName name="solver_tol" localSheetId="6" hidden="1">0.05</definedName>
    <definedName name="solver_typ" localSheetId="5" hidden="1">2</definedName>
    <definedName name="solver_typ" localSheetId="6" hidden="1">2</definedName>
    <definedName name="solver_val" localSheetId="5" hidden="1">0</definedName>
    <definedName name="solver_val" localSheetId="6" hidden="1">0</definedName>
    <definedName name="V">'[2]Luenberger_EG6.11'!$G$6:$K$10</definedName>
    <definedName name="VAR_A">'[1]Portfolio'!$B$3</definedName>
    <definedName name="VAR_B">'[1]Portfolio'!$C$3</definedName>
    <definedName name="var_tan">'[1]Portfolio'!$O$37</definedName>
    <definedName name="w">'[3]Sheet15'!$G$21:$K$21</definedName>
  </definedNames>
  <calcPr fullCalcOnLoad="1"/>
</workbook>
</file>

<file path=xl/comments7.xml><?xml version="1.0" encoding="utf-8"?>
<comments xmlns="http://schemas.openxmlformats.org/spreadsheetml/2006/main">
  <authors>
    <author>Richard D. Johnson</author>
  </authors>
  <commentList>
    <comment ref="AB54" authorId="0">
      <text>
        <r>
          <rPr>
            <b/>
            <sz val="8"/>
            <rFont val="Tahoma"/>
            <family val="2"/>
          </rPr>
          <t>Portföy Optimizasyonu için Tools\Solver üzerinden hedef getiri optimizasyonu çalıştırıldığında, minimum varyans beklentisini yansıtan optimum hisse ağırlık değerlerine ulaşmaktayız. İlgili Kovaryans Matrisi %60 ortalama portföy getirisini sağlayacak optimum hisse ağırlıklarına göre oluşturulmuştur. Portföy ağırlık toplamları da 1 olacak şekilde açığa satış imkanı verilmemektedir. Portföy varyansını "Min" yapacak bir kısıt bulunmaktadır. En alt kısımda ise, hedeflenen farklı portföy getirilerinin ima ettiği ortalama risk düzeyleri ve hisse ağırlıkları teker teker Tools\Solver yardımıyla çözümlenerek Etkin Set Portföyü oluşturulabilir.</t>
        </r>
      </text>
    </comment>
  </commentList>
</comments>
</file>

<file path=xl/sharedStrings.xml><?xml version="1.0" encoding="utf-8"?>
<sst xmlns="http://schemas.openxmlformats.org/spreadsheetml/2006/main" count="159" uniqueCount="99">
  <si>
    <t>apple box2</t>
  </si>
  <si>
    <t>m</t>
  </si>
  <si>
    <t>t</t>
  </si>
  <si>
    <t>Paranın Şimdiki Değeri</t>
  </si>
  <si>
    <t>Bileşiklendirme Frekansı</t>
  </si>
  <si>
    <t>Yıllık</t>
  </si>
  <si>
    <t>3 Ay</t>
  </si>
  <si>
    <t>Haftalık</t>
  </si>
  <si>
    <t>Günlük</t>
  </si>
  <si>
    <t>Sürekli</t>
  </si>
  <si>
    <t>Periyodik Oran</t>
  </si>
  <si>
    <t>Dönem Sonu V Değeri</t>
  </si>
  <si>
    <t>T</t>
  </si>
  <si>
    <t>ORT.GETİRİ</t>
  </si>
  <si>
    <t>RİSK</t>
  </si>
  <si>
    <t>RİSK/ORT</t>
  </si>
  <si>
    <t>ZARAR OLASILIĞI</t>
  </si>
  <si>
    <t>YIL</t>
  </si>
  <si>
    <t>AY</t>
  </si>
  <si>
    <t>HAFTA</t>
  </si>
  <si>
    <t>GÜN</t>
  </si>
  <si>
    <t>TARİH</t>
  </si>
  <si>
    <t>SAHOL</t>
  </si>
  <si>
    <t>TNSAS</t>
  </si>
  <si>
    <t>TUPRS</t>
  </si>
  <si>
    <t>Anapara (V)</t>
  </si>
  <si>
    <t>Faiz Oranı (R)</t>
  </si>
  <si>
    <t>sonsuz</t>
  </si>
  <si>
    <t>I. Basit Getiri</t>
  </si>
  <si>
    <t>Ay</t>
  </si>
  <si>
    <t>Fiyat</t>
  </si>
  <si>
    <t>Bir Dönem Getiri</t>
  </si>
  <si>
    <t>İki Dönem Getiri</t>
  </si>
  <si>
    <t>ln(Fiyat)</t>
  </si>
  <si>
    <t>Basit</t>
  </si>
  <si>
    <t>Faiz</t>
  </si>
  <si>
    <t>1 Yıllık</t>
  </si>
  <si>
    <t>Gelecek Değer</t>
  </si>
  <si>
    <t>Not:</t>
  </si>
  <si>
    <t>Portföyümüz içerisinde 2 ayrı hisse senedi bulunmaktadır</t>
  </si>
  <si>
    <t>E(r)_Beklenen Getiri</t>
  </si>
  <si>
    <t>Var(r)_Varyans</t>
  </si>
  <si>
    <t>Korelasyon (R1,R2)</t>
  </si>
  <si>
    <t>Hisse 1</t>
  </si>
  <si>
    <t>Hisse 2</t>
  </si>
  <si>
    <t>Portföy</t>
  </si>
  <si>
    <t>W(1)_Ağırlık</t>
  </si>
  <si>
    <t>W(2)_Ağırlık</t>
  </si>
  <si>
    <t>Var(Rp)_Portföy Varyansı</t>
  </si>
  <si>
    <t>E(Rp)_Portföy Beklenen Get.</t>
  </si>
  <si>
    <t>Faiz Bileşiklendirme Etkisi</t>
  </si>
  <si>
    <t>ARCLK.IS</t>
  </si>
  <si>
    <t>AKENR.IS</t>
  </si>
  <si>
    <t>AKBNK.IS</t>
  </si>
  <si>
    <t>ENKAI.IS</t>
  </si>
  <si>
    <t>KUTPO.IS</t>
  </si>
  <si>
    <t>GETIRILER</t>
  </si>
  <si>
    <t>KORELASYON MATRISI</t>
  </si>
  <si>
    <t>Standart Sapma</t>
  </si>
  <si>
    <t>Korelasyon Matrisi</t>
  </si>
  <si>
    <t>AKBNK</t>
  </si>
  <si>
    <t>ARCLK</t>
  </si>
  <si>
    <t>Kovaryans Matrisi</t>
  </si>
  <si>
    <t>EŞİT AĞIRLIKLI PORTFÖY KOVARYANS MATRİSİ</t>
  </si>
  <si>
    <t>Ağırlık</t>
  </si>
  <si>
    <t xml:space="preserve">1% VaR:       </t>
  </si>
  <si>
    <t xml:space="preserve">5% VaR:       </t>
  </si>
  <si>
    <t>Olasılık</t>
  </si>
  <si>
    <t>Getiri</t>
  </si>
  <si>
    <t>Beklenen Getiri</t>
  </si>
  <si>
    <t>HEDEF GETİRİ KOVARYANS MATRİSİ</t>
  </si>
  <si>
    <t>Getiri Hedefine Göre Portföy Dağılımı</t>
  </si>
  <si>
    <r>
      <t>P</t>
    </r>
    <r>
      <rPr>
        <b/>
        <i/>
        <vertAlign val="subscript"/>
        <sz val="12"/>
        <color indexed="9"/>
        <rFont val="Times New Roman"/>
        <family val="1"/>
      </rPr>
      <t>t</t>
    </r>
  </si>
  <si>
    <r>
      <t>R</t>
    </r>
    <r>
      <rPr>
        <b/>
        <i/>
        <vertAlign val="subscript"/>
        <sz val="12"/>
        <color indexed="9"/>
        <rFont val="Times New Roman"/>
        <family val="1"/>
      </rPr>
      <t>t</t>
    </r>
  </si>
  <si>
    <r>
      <t>R</t>
    </r>
    <r>
      <rPr>
        <b/>
        <i/>
        <vertAlign val="subscript"/>
        <sz val="12"/>
        <color indexed="9"/>
        <rFont val="Times New Roman"/>
        <family val="1"/>
      </rPr>
      <t>t</t>
    </r>
    <r>
      <rPr>
        <b/>
        <i/>
        <sz val="12"/>
        <color indexed="9"/>
        <rFont val="Times New Roman"/>
        <family val="1"/>
      </rPr>
      <t>(2)</t>
    </r>
  </si>
  <si>
    <r>
      <t>ln(P</t>
    </r>
    <r>
      <rPr>
        <b/>
        <i/>
        <vertAlign val="subscript"/>
        <sz val="12"/>
        <color indexed="9"/>
        <rFont val="Times New Roman"/>
        <family val="1"/>
      </rPr>
      <t>t</t>
    </r>
    <r>
      <rPr>
        <b/>
        <i/>
        <sz val="12"/>
        <color indexed="9"/>
        <rFont val="Times New Roman"/>
        <family val="1"/>
      </rPr>
      <t>)</t>
    </r>
  </si>
  <si>
    <r>
      <t>r</t>
    </r>
    <r>
      <rPr>
        <b/>
        <i/>
        <vertAlign val="subscript"/>
        <sz val="12"/>
        <color indexed="9"/>
        <rFont val="Times New Roman"/>
        <family val="1"/>
      </rPr>
      <t>t</t>
    </r>
  </si>
  <si>
    <r>
      <t>r</t>
    </r>
    <r>
      <rPr>
        <b/>
        <i/>
        <vertAlign val="subscript"/>
        <sz val="12"/>
        <color indexed="9"/>
        <rFont val="Times New Roman"/>
        <family val="1"/>
      </rPr>
      <t>t</t>
    </r>
    <r>
      <rPr>
        <b/>
        <i/>
        <sz val="12"/>
        <color indexed="9"/>
        <rFont val="Times New Roman"/>
        <family val="1"/>
      </rPr>
      <t>(2)</t>
    </r>
  </si>
  <si>
    <t>ÜÇ AY</t>
  </si>
  <si>
    <t>Portföy Riski Üzerindeki Korelasyon Etkisi</t>
  </si>
  <si>
    <t>Port Varyansı</t>
  </si>
  <si>
    <t>Port Std.Sap.</t>
  </si>
  <si>
    <t>Port.Ort.</t>
  </si>
  <si>
    <t>Ortalama</t>
  </si>
  <si>
    <t>Bileşik Yıllık Oran</t>
  </si>
  <si>
    <t>Basit Faiz</t>
  </si>
  <si>
    <t>Yıllık n dönem tekrarlanan Bileşik Faiz</t>
  </si>
  <si>
    <t>Sürekli Bileşiklendirme</t>
  </si>
  <si>
    <t>Finansal Varlık Getiri Hesaplama</t>
  </si>
  <si>
    <t>II.Sürekli Bileşiklendirilen Getiri</t>
  </si>
  <si>
    <t>Portföy Ort.</t>
  </si>
  <si>
    <t>Açıklama</t>
  </si>
  <si>
    <t>%20-%60 Aralığında Hedeflenen Ortalama Portföy Getiri Optimizasyonu</t>
  </si>
  <si>
    <t>A Varlık</t>
  </si>
  <si>
    <t>B Varlık</t>
  </si>
  <si>
    <t>Açıklama şekil altındadır!</t>
  </si>
  <si>
    <t>Std.Sapma</t>
  </si>
  <si>
    <t>Yıllık Get.</t>
  </si>
  <si>
    <t>Yıllık Std. Sap.</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</si>
</sst>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
    <numFmt numFmtId="169" formatCode="0.0000"/>
    <numFmt numFmtId="170" formatCode="0.00000000"/>
    <numFmt numFmtId="171" formatCode="0.00000"/>
    <numFmt numFmtId="172" formatCode="0.0"/>
    <numFmt numFmtId="173" formatCode="&quot;$&quot;#,##0"/>
    <numFmt numFmtId="174" formatCode="dd\-mmm\-yy"/>
    <numFmt numFmtId="175" formatCode="0.0000000"/>
    <numFmt numFmtId="176" formatCode="0.000"/>
    <numFmt numFmtId="177" formatCode="0.000000"/>
    <numFmt numFmtId="178" formatCode="0.000000000"/>
    <numFmt numFmtId="179" formatCode="0.0000000000"/>
  </numFmts>
  <fonts count="72">
    <font>
      <sz val="10"/>
      <name val="Arial"/>
      <family val="0"/>
    </font>
    <font>
      <u val="single"/>
      <sz val="10"/>
      <color indexed="36"/>
      <name val="Arial"/>
      <family val="2"/>
    </font>
    <font>
      <u val="single"/>
      <sz val="10"/>
      <color indexed="12"/>
      <name val="Arial"/>
      <family val="2"/>
    </font>
    <font>
      <b/>
      <sz val="8"/>
      <name val="Tahoma"/>
      <family val="2"/>
    </font>
    <font>
      <b/>
      <sz val="12"/>
      <color indexed="9"/>
      <name val="Times New Roman"/>
      <family val="1"/>
    </font>
    <font>
      <sz val="12"/>
      <color indexed="9"/>
      <name val="Times New Roman"/>
      <family val="1"/>
    </font>
    <font>
      <b/>
      <sz val="10"/>
      <color indexed="9"/>
      <name val="Times New Roman"/>
      <family val="1"/>
    </font>
    <font>
      <sz val="10"/>
      <color indexed="9"/>
      <name val="Times New Roman"/>
      <family val="1"/>
    </font>
    <font>
      <sz val="10"/>
      <name val="Times New Roman"/>
      <family val="1"/>
    </font>
    <font>
      <b/>
      <sz val="10"/>
      <name val="Times New Roman"/>
      <family val="1"/>
    </font>
    <font>
      <b/>
      <sz val="10"/>
      <color indexed="18"/>
      <name val="Times New Roman"/>
      <family val="1"/>
    </font>
    <font>
      <b/>
      <sz val="9"/>
      <color indexed="9"/>
      <name val="Times New Roman"/>
      <family val="1"/>
    </font>
    <font>
      <b/>
      <sz val="9"/>
      <name val="Times New Roman"/>
      <family val="1"/>
    </font>
    <font>
      <b/>
      <sz val="14"/>
      <color indexed="9"/>
      <name val="Times New Roman"/>
      <family val="1"/>
    </font>
    <font>
      <sz val="14"/>
      <color indexed="9"/>
      <name val="Times New Roman"/>
      <family val="1"/>
    </font>
    <font>
      <b/>
      <i/>
      <sz val="12"/>
      <color indexed="9"/>
      <name val="Times New Roman"/>
      <family val="1"/>
    </font>
    <font>
      <b/>
      <i/>
      <vertAlign val="subscript"/>
      <sz val="12"/>
      <color indexed="9"/>
      <name val="Times New Roman"/>
      <family val="1"/>
    </font>
    <font>
      <sz val="9"/>
      <name val="Times New Roman"/>
      <family val="1"/>
    </font>
    <font>
      <sz val="9"/>
      <color indexed="9"/>
      <name val="Times New Roman"/>
      <family val="1"/>
    </font>
    <font>
      <i/>
      <sz val="9"/>
      <name val="Times New Roman"/>
      <family val="1"/>
    </font>
    <font>
      <b/>
      <sz val="12"/>
      <name val="Times New Roman"/>
      <family val="1"/>
    </font>
    <font>
      <sz val="12"/>
      <name val="Times New Roman"/>
      <family val="1"/>
    </font>
    <font>
      <sz val="9"/>
      <color indexed="10"/>
      <name val="Times New Roman"/>
      <family val="1"/>
    </font>
    <font>
      <sz val="3.25"/>
      <color indexed="8"/>
      <name val="Arial"/>
      <family val="2"/>
    </font>
    <font>
      <sz val="2.95"/>
      <color indexed="8"/>
      <name val="Arial"/>
      <family val="2"/>
    </font>
    <font>
      <sz val="10"/>
      <color indexed="8"/>
      <name val="Arial"/>
      <family val="2"/>
    </font>
    <font>
      <b/>
      <sz val="10"/>
      <color indexed="8"/>
      <name val="Arial"/>
      <family val="2"/>
    </font>
    <font>
      <sz val="12"/>
      <color indexed="8"/>
      <name val="Arial"/>
      <family val="2"/>
    </font>
    <font>
      <sz val="15.75"/>
      <color indexed="8"/>
      <name val="Arial"/>
      <family val="2"/>
    </font>
    <font>
      <sz val="8.75"/>
      <color indexed="8"/>
      <name val="Arial"/>
      <family val="2"/>
    </font>
    <font>
      <sz val="9.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Times New Roman"/>
      <family val="1"/>
    </font>
    <font>
      <b/>
      <sz val="12"/>
      <color indexed="8"/>
      <name val="Times New Roman"/>
      <family val="1"/>
    </font>
    <font>
      <b/>
      <sz val="11"/>
      <color indexed="8"/>
      <name val="Times New Roman"/>
      <family val="1"/>
    </font>
    <font>
      <b/>
      <sz val="12"/>
      <color indexed="8"/>
      <name val="Arial"/>
      <family val="2"/>
    </font>
    <font>
      <b/>
      <sz val="11.25"/>
      <color indexed="8"/>
      <name val="Arial"/>
      <family val="2"/>
    </font>
    <font>
      <sz val="8.25"/>
      <color indexed="8"/>
      <name val="Arial"/>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1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65"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7"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68"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67" fontId="0" fillId="0" borderId="0" applyFon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303">
    <xf numFmtId="0" fontId="0" fillId="0" borderId="0" xfId="0" applyAlignment="1">
      <alignment/>
    </xf>
    <xf numFmtId="0" fontId="0" fillId="33" borderId="0" xfId="0" applyFill="1" applyAlignment="1">
      <alignment/>
    </xf>
    <xf numFmtId="0" fontId="8" fillId="33" borderId="0" xfId="0" applyFont="1" applyFill="1" applyAlignment="1">
      <alignment/>
    </xf>
    <xf numFmtId="0" fontId="8" fillId="0" borderId="0" xfId="0" applyFont="1" applyFill="1" applyAlignment="1">
      <alignment/>
    </xf>
    <xf numFmtId="0" fontId="9" fillId="33" borderId="0" xfId="0" applyFont="1" applyFill="1" applyAlignment="1">
      <alignment/>
    </xf>
    <xf numFmtId="0" fontId="8" fillId="33" borderId="0" xfId="0" applyFont="1" applyFill="1" applyAlignment="1">
      <alignment horizontal="center"/>
    </xf>
    <xf numFmtId="169" fontId="8" fillId="33" borderId="0" xfId="0" applyNumberFormat="1" applyFont="1" applyFill="1" applyAlignment="1">
      <alignment horizontal="center"/>
    </xf>
    <xf numFmtId="10" fontId="8" fillId="33" borderId="0" xfId="64" applyNumberFormat="1" applyFont="1" applyFill="1" applyAlignment="1">
      <alignment/>
    </xf>
    <xf numFmtId="0" fontId="17" fillId="33" borderId="0" xfId="49" applyFont="1" applyFill="1" applyBorder="1">
      <alignment/>
      <protection/>
    </xf>
    <xf numFmtId="0" fontId="17" fillId="33" borderId="0" xfId="49" applyFont="1" applyFill="1" applyBorder="1" applyAlignment="1">
      <alignment horizontal="center"/>
      <protection/>
    </xf>
    <xf numFmtId="0" fontId="17" fillId="0" borderId="0" xfId="49" applyFont="1" applyFill="1" applyBorder="1" applyAlignment="1">
      <alignment horizontal="center"/>
      <protection/>
    </xf>
    <xf numFmtId="0" fontId="11" fillId="34" borderId="10" xfId="49" applyFont="1" applyFill="1" applyBorder="1" applyAlignment="1" applyProtection="1">
      <alignment horizontal="right"/>
      <protection locked="0"/>
    </xf>
    <xf numFmtId="0" fontId="11" fillId="34" borderId="11" xfId="49" applyFont="1" applyFill="1" applyBorder="1" applyAlignment="1" applyProtection="1">
      <alignment horizontal="right"/>
      <protection locked="0"/>
    </xf>
    <xf numFmtId="0" fontId="12" fillId="33" borderId="0" xfId="49" applyFont="1" applyFill="1" applyBorder="1">
      <alignment/>
      <protection/>
    </xf>
    <xf numFmtId="0" fontId="11" fillId="34" borderId="12" xfId="49" applyFont="1" applyFill="1" applyBorder="1" applyAlignment="1" applyProtection="1">
      <alignment horizontal="right"/>
      <protection locked="0"/>
    </xf>
    <xf numFmtId="0" fontId="11" fillId="34" borderId="13" xfId="49" applyFont="1" applyFill="1" applyBorder="1" applyAlignment="1" applyProtection="1">
      <alignment horizontal="right"/>
      <protection locked="0"/>
    </xf>
    <xf numFmtId="0" fontId="11" fillId="34" borderId="14" xfId="49" applyFont="1" applyFill="1" applyBorder="1" applyAlignment="1" applyProtection="1">
      <alignment horizontal="right"/>
      <protection locked="0"/>
    </xf>
    <xf numFmtId="0" fontId="11" fillId="34" borderId="15" xfId="49" applyFont="1" applyFill="1" applyBorder="1" applyAlignment="1" applyProtection="1">
      <alignment horizontal="right"/>
      <protection locked="0"/>
    </xf>
    <xf numFmtId="172" fontId="17" fillId="33" borderId="0" xfId="49" applyNumberFormat="1" applyFont="1" applyFill="1" applyBorder="1">
      <alignment/>
      <protection/>
    </xf>
    <xf numFmtId="0" fontId="19" fillId="33" borderId="0" xfId="49" applyFont="1" applyFill="1" applyBorder="1" applyAlignment="1">
      <alignment horizontal="center"/>
      <protection/>
    </xf>
    <xf numFmtId="2" fontId="17" fillId="33" borderId="0" xfId="49" applyNumberFormat="1" applyFont="1" applyFill="1" applyBorder="1" applyAlignment="1">
      <alignment/>
      <protection/>
    </xf>
    <xf numFmtId="2" fontId="17" fillId="33" borderId="0" xfId="49" applyNumberFormat="1" applyFont="1" applyFill="1" applyBorder="1">
      <alignment/>
      <protection/>
    </xf>
    <xf numFmtId="169" fontId="17" fillId="33" borderId="0" xfId="49" applyNumberFormat="1" applyFont="1" applyFill="1" applyBorder="1">
      <alignment/>
      <protection/>
    </xf>
    <xf numFmtId="170" fontId="17" fillId="33" borderId="0" xfId="49" applyNumberFormat="1" applyFont="1" applyFill="1" applyBorder="1">
      <alignment/>
      <protection/>
    </xf>
    <xf numFmtId="14" fontId="17" fillId="33" borderId="0" xfId="49" applyNumberFormat="1" applyFont="1" applyFill="1" applyBorder="1" applyAlignment="1">
      <alignment horizontal="center"/>
      <protection/>
    </xf>
    <xf numFmtId="0" fontId="9" fillId="33" borderId="0" xfId="50" applyFont="1" applyFill="1">
      <alignment/>
      <protection/>
    </xf>
    <xf numFmtId="0" fontId="8" fillId="33" borderId="0" xfId="50" applyFont="1" applyFill="1">
      <alignment/>
      <protection/>
    </xf>
    <xf numFmtId="0" fontId="4" fillId="34" borderId="16" xfId="0" applyFont="1" applyFill="1" applyBorder="1" applyAlignment="1" applyProtection="1">
      <alignment/>
      <protection locked="0"/>
    </xf>
    <xf numFmtId="0" fontId="5" fillId="34" borderId="16" xfId="0" applyFont="1" applyFill="1" applyBorder="1" applyAlignment="1" applyProtection="1">
      <alignment/>
      <protection locked="0"/>
    </xf>
    <xf numFmtId="0" fontId="4" fillId="34" borderId="17" xfId="0" applyFont="1" applyFill="1" applyBorder="1" applyAlignment="1" applyProtection="1">
      <alignment horizontal="center"/>
      <protection locked="0"/>
    </xf>
    <xf numFmtId="173" fontId="10" fillId="35" borderId="17" xfId="0" applyNumberFormat="1" applyFont="1" applyFill="1" applyBorder="1" applyAlignment="1" applyProtection="1">
      <alignment horizontal="center"/>
      <protection locked="0"/>
    </xf>
    <xf numFmtId="9" fontId="10" fillId="35" borderId="17" xfId="64" applyFont="1" applyFill="1" applyBorder="1" applyAlignment="1" applyProtection="1">
      <alignment horizontal="center"/>
      <protection locked="0"/>
    </xf>
    <xf numFmtId="0" fontId="4" fillId="34" borderId="12" xfId="0" applyFont="1" applyFill="1" applyBorder="1" applyAlignment="1" applyProtection="1">
      <alignment horizontal="center" wrapText="1"/>
      <protection locked="0"/>
    </xf>
    <xf numFmtId="0" fontId="4" fillId="34" borderId="10" xfId="0" applyFont="1" applyFill="1" applyBorder="1" applyAlignment="1" applyProtection="1">
      <alignment horizontal="center" wrapText="1"/>
      <protection locked="0"/>
    </xf>
    <xf numFmtId="0" fontId="4" fillId="34" borderId="11" xfId="0" applyFont="1" applyFill="1" applyBorder="1" applyAlignment="1" applyProtection="1">
      <alignment horizontal="center" wrapText="1"/>
      <protection locked="0"/>
    </xf>
    <xf numFmtId="0" fontId="8" fillId="35" borderId="18" xfId="0" applyFont="1" applyFill="1" applyBorder="1" applyAlignment="1" applyProtection="1">
      <alignment horizontal="center"/>
      <protection locked="0"/>
    </xf>
    <xf numFmtId="0" fontId="8" fillId="35" borderId="0" xfId="0" applyFont="1" applyFill="1" applyBorder="1" applyAlignment="1" applyProtection="1">
      <alignment horizontal="center"/>
      <protection locked="0"/>
    </xf>
    <xf numFmtId="0" fontId="8" fillId="35" borderId="19" xfId="0" applyFont="1" applyFill="1" applyBorder="1" applyAlignment="1" applyProtection="1">
      <alignment horizontal="center"/>
      <protection locked="0"/>
    </xf>
    <xf numFmtId="0" fontId="13" fillId="34" borderId="20" xfId="0" applyFont="1" applyFill="1" applyBorder="1" applyAlignment="1" applyProtection="1">
      <alignment/>
      <protection locked="0"/>
    </xf>
    <xf numFmtId="0" fontId="14" fillId="34" borderId="21" xfId="0" applyFont="1" applyFill="1" applyBorder="1" applyAlignment="1" applyProtection="1">
      <alignment/>
      <protection locked="0"/>
    </xf>
    <xf numFmtId="0" fontId="14" fillId="34" borderId="22" xfId="0" applyFont="1" applyFill="1" applyBorder="1" applyAlignment="1" applyProtection="1">
      <alignment/>
      <protection locked="0"/>
    </xf>
    <xf numFmtId="0" fontId="4" fillId="34" borderId="23" xfId="0" applyFont="1" applyFill="1" applyBorder="1" applyAlignment="1" applyProtection="1">
      <alignment horizontal="center" wrapText="1"/>
      <protection locked="0"/>
    </xf>
    <xf numFmtId="0" fontId="4" fillId="34" borderId="18" xfId="0" applyFont="1" applyFill="1" applyBorder="1" applyAlignment="1" applyProtection="1">
      <alignment horizontal="center" wrapText="1"/>
      <protection locked="0"/>
    </xf>
    <xf numFmtId="0" fontId="4" fillId="34" borderId="18" xfId="0" applyFont="1" applyFill="1" applyBorder="1" applyAlignment="1" applyProtection="1">
      <alignment horizontal="centerContinuous" wrapText="1"/>
      <protection locked="0"/>
    </xf>
    <xf numFmtId="0" fontId="4" fillId="34" borderId="18" xfId="0" applyFont="1" applyFill="1" applyBorder="1" applyAlignment="1" applyProtection="1">
      <alignment horizontal="centerContinuous"/>
      <protection locked="0"/>
    </xf>
    <xf numFmtId="0" fontId="4" fillId="34" borderId="24" xfId="0" applyFont="1" applyFill="1" applyBorder="1" applyAlignment="1" applyProtection="1">
      <alignment horizontal="centerContinuous"/>
      <protection locked="0"/>
    </xf>
    <xf numFmtId="0" fontId="4" fillId="34" borderId="25" xfId="0" applyFont="1" applyFill="1" applyBorder="1" applyAlignment="1" applyProtection="1">
      <alignment horizontal="center"/>
      <protection locked="0"/>
    </xf>
    <xf numFmtId="0" fontId="4" fillId="34" borderId="19" xfId="0" applyFont="1" applyFill="1" applyBorder="1" applyAlignment="1" applyProtection="1">
      <alignment horizontal="center"/>
      <protection locked="0"/>
    </xf>
    <xf numFmtId="0" fontId="4" fillId="34" borderId="19" xfId="0" applyFont="1" applyFill="1" applyBorder="1" applyAlignment="1" applyProtection="1">
      <alignment horizontal="center" wrapText="1"/>
      <protection locked="0"/>
    </xf>
    <xf numFmtId="0" fontId="4" fillId="34" borderId="26" xfId="0" applyFont="1" applyFill="1" applyBorder="1" applyAlignment="1" applyProtection="1">
      <alignment horizontal="center"/>
      <protection locked="0"/>
    </xf>
    <xf numFmtId="10" fontId="8" fillId="35" borderId="27" xfId="0" applyNumberFormat="1" applyFont="1" applyFill="1" applyBorder="1" applyAlignment="1" applyProtection="1">
      <alignment horizontal="center"/>
      <protection locked="0"/>
    </xf>
    <xf numFmtId="9" fontId="8" fillId="35" borderId="0" xfId="0" applyNumberFormat="1" applyFont="1" applyFill="1" applyBorder="1" applyAlignment="1" applyProtection="1">
      <alignment horizontal="center"/>
      <protection locked="0"/>
    </xf>
    <xf numFmtId="10" fontId="8" fillId="35" borderId="0" xfId="0" applyNumberFormat="1" applyFont="1" applyFill="1" applyBorder="1" applyAlignment="1" applyProtection="1">
      <alignment horizontal="center"/>
      <protection locked="0"/>
    </xf>
    <xf numFmtId="10" fontId="8" fillId="35" borderId="28" xfId="0" applyNumberFormat="1" applyFont="1" applyFill="1" applyBorder="1" applyAlignment="1" applyProtection="1">
      <alignment horizontal="center"/>
      <protection locked="0"/>
    </xf>
    <xf numFmtId="10" fontId="8" fillId="35" borderId="12" xfId="0" applyNumberFormat="1" applyFont="1" applyFill="1" applyBorder="1" applyAlignment="1" applyProtection="1">
      <alignment horizontal="center"/>
      <protection locked="0"/>
    </xf>
    <xf numFmtId="9" fontId="8" fillId="35" borderId="10" xfId="0" applyNumberFormat="1" applyFont="1" applyFill="1" applyBorder="1" applyAlignment="1" applyProtection="1">
      <alignment horizontal="center"/>
      <protection locked="0"/>
    </xf>
    <xf numFmtId="10" fontId="8" fillId="35" borderId="10" xfId="0" applyNumberFormat="1" applyFont="1" applyFill="1" applyBorder="1" applyAlignment="1" applyProtection="1">
      <alignment horizontal="center"/>
      <protection locked="0"/>
    </xf>
    <xf numFmtId="10" fontId="8" fillId="35" borderId="11" xfId="0" applyNumberFormat="1" applyFont="1" applyFill="1" applyBorder="1" applyAlignment="1" applyProtection="1">
      <alignment horizontal="center"/>
      <protection locked="0"/>
    </xf>
    <xf numFmtId="10" fontId="8" fillId="35" borderId="25" xfId="0" applyNumberFormat="1" applyFont="1" applyFill="1" applyBorder="1" applyAlignment="1" applyProtection="1">
      <alignment horizontal="center"/>
      <protection locked="0"/>
    </xf>
    <xf numFmtId="9" fontId="8" fillId="35" borderId="19" xfId="0" applyNumberFormat="1" applyFont="1" applyFill="1" applyBorder="1" applyAlignment="1" applyProtection="1">
      <alignment horizontal="center"/>
      <protection locked="0"/>
    </xf>
    <xf numFmtId="10" fontId="8" fillId="35" borderId="19" xfId="0" applyNumberFormat="1" applyFont="1" applyFill="1" applyBorder="1" applyAlignment="1" applyProtection="1">
      <alignment horizontal="center"/>
      <protection locked="0"/>
    </xf>
    <xf numFmtId="10" fontId="8" fillId="35" borderId="26" xfId="0" applyNumberFormat="1" applyFont="1" applyFill="1" applyBorder="1" applyAlignment="1" applyProtection="1">
      <alignment horizontal="center"/>
      <protection locked="0"/>
    </xf>
    <xf numFmtId="0" fontId="8" fillId="35" borderId="18" xfId="0" applyFont="1" applyFill="1" applyBorder="1" applyAlignment="1" applyProtection="1">
      <alignment/>
      <protection locked="0"/>
    </xf>
    <xf numFmtId="0" fontId="8" fillId="35" borderId="24" xfId="0" applyFont="1" applyFill="1" applyBorder="1" applyAlignment="1" applyProtection="1">
      <alignment/>
      <protection locked="0"/>
    </xf>
    <xf numFmtId="0" fontId="8" fillId="35" borderId="27" xfId="0" applyFont="1" applyFill="1" applyBorder="1" applyAlignment="1" applyProtection="1">
      <alignment/>
      <protection locked="0"/>
    </xf>
    <xf numFmtId="0" fontId="8" fillId="35" borderId="0" xfId="0" applyFont="1" applyFill="1" applyBorder="1" applyAlignment="1" applyProtection="1">
      <alignment/>
      <protection locked="0"/>
    </xf>
    <xf numFmtId="0" fontId="8" fillId="35" borderId="28" xfId="0" applyFont="1" applyFill="1" applyBorder="1" applyAlignment="1" applyProtection="1">
      <alignment/>
      <protection locked="0"/>
    </xf>
    <xf numFmtId="9" fontId="8" fillId="35" borderId="0" xfId="0" applyNumberFormat="1" applyFont="1" applyFill="1" applyBorder="1" applyAlignment="1" applyProtection="1">
      <alignment/>
      <protection locked="0"/>
    </xf>
    <xf numFmtId="9" fontId="8" fillId="35" borderId="28" xfId="0" applyNumberFormat="1" applyFont="1" applyFill="1" applyBorder="1" applyAlignment="1" applyProtection="1">
      <alignment/>
      <protection locked="0"/>
    </xf>
    <xf numFmtId="0" fontId="8" fillId="35" borderId="25" xfId="0" applyFont="1" applyFill="1" applyBorder="1" applyAlignment="1" applyProtection="1">
      <alignment/>
      <protection locked="0"/>
    </xf>
    <xf numFmtId="0" fontId="8" fillId="35" borderId="19" xfId="0" applyFont="1" applyFill="1" applyBorder="1" applyAlignment="1" applyProtection="1">
      <alignment/>
      <protection locked="0"/>
    </xf>
    <xf numFmtId="0" fontId="8" fillId="35" borderId="26" xfId="0" applyFont="1" applyFill="1" applyBorder="1" applyAlignment="1" applyProtection="1">
      <alignment/>
      <protection locked="0"/>
    </xf>
    <xf numFmtId="0" fontId="8" fillId="34" borderId="21" xfId="0" applyFont="1" applyFill="1" applyBorder="1" applyAlignment="1" applyProtection="1">
      <alignment/>
      <protection locked="0"/>
    </xf>
    <xf numFmtId="0" fontId="8" fillId="34" borderId="22" xfId="0" applyFont="1" applyFill="1" applyBorder="1" applyAlignment="1" applyProtection="1">
      <alignment/>
      <protection locked="0"/>
    </xf>
    <xf numFmtId="0" fontId="15" fillId="34" borderId="25" xfId="0" applyFont="1" applyFill="1" applyBorder="1" applyAlignment="1" applyProtection="1">
      <alignment horizontal="center"/>
      <protection locked="0"/>
    </xf>
    <xf numFmtId="0" fontId="15" fillId="34" borderId="19" xfId="0" applyFont="1" applyFill="1" applyBorder="1" applyAlignment="1" applyProtection="1">
      <alignment horizontal="center"/>
      <protection locked="0"/>
    </xf>
    <xf numFmtId="0" fontId="15" fillId="34" borderId="26" xfId="0" applyFont="1" applyFill="1" applyBorder="1" applyAlignment="1" applyProtection="1">
      <alignment horizontal="center"/>
      <protection locked="0"/>
    </xf>
    <xf numFmtId="0" fontId="8" fillId="35" borderId="27" xfId="0" applyFont="1" applyFill="1" applyBorder="1" applyAlignment="1" applyProtection="1">
      <alignment horizontal="center"/>
      <protection locked="0"/>
    </xf>
    <xf numFmtId="169" fontId="8" fillId="35" borderId="0" xfId="0" applyNumberFormat="1" applyFont="1" applyFill="1" applyBorder="1" applyAlignment="1" applyProtection="1">
      <alignment horizontal="center"/>
      <protection locked="0"/>
    </xf>
    <xf numFmtId="169" fontId="8" fillId="35" borderId="0" xfId="0" applyNumberFormat="1" applyFont="1" applyFill="1" applyBorder="1" applyAlignment="1" applyProtection="1">
      <alignment/>
      <protection locked="0"/>
    </xf>
    <xf numFmtId="169" fontId="8" fillId="35" borderId="28" xfId="0" applyNumberFormat="1" applyFont="1" applyFill="1" applyBorder="1" applyAlignment="1" applyProtection="1">
      <alignment/>
      <protection locked="0"/>
    </xf>
    <xf numFmtId="0" fontId="8" fillId="35" borderId="25" xfId="0" applyFont="1" applyFill="1" applyBorder="1" applyAlignment="1" applyProtection="1">
      <alignment horizontal="center"/>
      <protection locked="0"/>
    </xf>
    <xf numFmtId="169" fontId="8" fillId="35" borderId="19" xfId="0" applyNumberFormat="1" applyFont="1" applyFill="1" applyBorder="1" applyAlignment="1" applyProtection="1">
      <alignment horizontal="center"/>
      <protection locked="0"/>
    </xf>
    <xf numFmtId="169" fontId="8" fillId="35" borderId="19" xfId="0" applyNumberFormat="1" applyFont="1" applyFill="1" applyBorder="1" applyAlignment="1" applyProtection="1">
      <alignment/>
      <protection locked="0"/>
    </xf>
    <xf numFmtId="169" fontId="8" fillId="35" borderId="26" xfId="0" applyNumberFormat="1" applyFont="1" applyFill="1" applyBorder="1" applyAlignment="1" applyProtection="1">
      <alignment/>
      <protection locked="0"/>
    </xf>
    <xf numFmtId="0" fontId="8" fillId="33" borderId="0" xfId="0" applyFont="1" applyFill="1" applyAlignment="1" applyProtection="1">
      <alignment/>
      <protection locked="0"/>
    </xf>
    <xf numFmtId="0" fontId="8" fillId="35" borderId="23" xfId="0" applyFont="1" applyFill="1" applyBorder="1" applyAlignment="1" applyProtection="1">
      <alignment horizontal="center"/>
      <protection locked="0"/>
    </xf>
    <xf numFmtId="175" fontId="8" fillId="35" borderId="18" xfId="0" applyNumberFormat="1" applyFont="1" applyFill="1" applyBorder="1" applyAlignment="1" applyProtection="1">
      <alignment horizontal="center"/>
      <protection locked="0"/>
    </xf>
    <xf numFmtId="169" fontId="8" fillId="35" borderId="18" xfId="0" applyNumberFormat="1" applyFont="1" applyFill="1" applyBorder="1" applyAlignment="1" applyProtection="1">
      <alignment horizontal="center"/>
      <protection locked="0"/>
    </xf>
    <xf numFmtId="169" fontId="8" fillId="35" borderId="24" xfId="0" applyNumberFormat="1" applyFont="1" applyFill="1" applyBorder="1" applyAlignment="1" applyProtection="1">
      <alignment horizontal="center"/>
      <protection locked="0"/>
    </xf>
    <xf numFmtId="175" fontId="8" fillId="35" borderId="0" xfId="0" applyNumberFormat="1" applyFont="1" applyFill="1" applyBorder="1" applyAlignment="1" applyProtection="1">
      <alignment horizontal="center"/>
      <protection locked="0"/>
    </xf>
    <xf numFmtId="169" fontId="8" fillId="35" borderId="28" xfId="0" applyNumberFormat="1" applyFont="1" applyFill="1" applyBorder="1" applyAlignment="1" applyProtection="1">
      <alignment horizontal="center"/>
      <protection locked="0"/>
    </xf>
    <xf numFmtId="175" fontId="8" fillId="35" borderId="19" xfId="0" applyNumberFormat="1" applyFont="1" applyFill="1" applyBorder="1" applyAlignment="1" applyProtection="1">
      <alignment horizontal="center"/>
      <protection locked="0"/>
    </xf>
    <xf numFmtId="169" fontId="8" fillId="35" borderId="26" xfId="0" applyNumberFormat="1" applyFont="1" applyFill="1" applyBorder="1" applyAlignment="1" applyProtection="1">
      <alignment horizontal="center"/>
      <protection locked="0"/>
    </xf>
    <xf numFmtId="0" fontId="6" fillId="34" borderId="13" xfId="0" applyFont="1" applyFill="1" applyBorder="1" applyAlignment="1" applyProtection="1">
      <alignment horizontal="center"/>
      <protection locked="0"/>
    </xf>
    <xf numFmtId="0" fontId="4" fillId="34" borderId="14" xfId="0" applyFont="1" applyFill="1" applyBorder="1" applyAlignment="1" applyProtection="1">
      <alignment horizontal="right"/>
      <protection locked="0"/>
    </xf>
    <xf numFmtId="0" fontId="4" fillId="34" borderId="15" xfId="0" applyFont="1" applyFill="1" applyBorder="1" applyAlignment="1" applyProtection="1">
      <alignment horizontal="right"/>
      <protection locked="0"/>
    </xf>
    <xf numFmtId="0" fontId="4" fillId="34" borderId="12" xfId="0" applyFont="1" applyFill="1" applyBorder="1" applyAlignment="1" applyProtection="1">
      <alignment/>
      <protection locked="0"/>
    </xf>
    <xf numFmtId="0" fontId="7" fillId="34" borderId="10" xfId="0" applyFont="1" applyFill="1" applyBorder="1" applyAlignment="1" applyProtection="1">
      <alignment/>
      <protection locked="0"/>
    </xf>
    <xf numFmtId="0" fontId="7" fillId="34" borderId="11" xfId="0" applyFont="1" applyFill="1" applyBorder="1" applyAlignment="1" applyProtection="1">
      <alignment/>
      <protection locked="0"/>
    </xf>
    <xf numFmtId="0" fontId="7" fillId="34" borderId="0" xfId="0" applyFont="1" applyFill="1" applyAlignment="1" applyProtection="1">
      <alignment/>
      <protection locked="0"/>
    </xf>
    <xf numFmtId="0" fontId="6" fillId="34" borderId="0" xfId="0" applyFont="1" applyFill="1" applyAlignment="1" applyProtection="1">
      <alignment horizontal="center"/>
      <protection locked="0"/>
    </xf>
    <xf numFmtId="0" fontId="6" fillId="34" borderId="0" xfId="0" applyFont="1" applyFill="1" applyAlignment="1" applyProtection="1">
      <alignment/>
      <protection locked="0"/>
    </xf>
    <xf numFmtId="2" fontId="8" fillId="35" borderId="23" xfId="0" applyNumberFormat="1" applyFont="1" applyFill="1" applyBorder="1" applyAlignment="1" applyProtection="1">
      <alignment horizontal="center"/>
      <protection locked="0"/>
    </xf>
    <xf numFmtId="0" fontId="8" fillId="35" borderId="24" xfId="0" applyFont="1" applyFill="1" applyBorder="1" applyAlignment="1" applyProtection="1">
      <alignment horizontal="center"/>
      <protection locked="0"/>
    </xf>
    <xf numFmtId="2" fontId="8" fillId="35" borderId="25" xfId="0" applyNumberFormat="1" applyFont="1" applyFill="1" applyBorder="1" applyAlignment="1" applyProtection="1">
      <alignment horizontal="center"/>
      <protection locked="0"/>
    </xf>
    <xf numFmtId="0" fontId="8" fillId="35" borderId="26" xfId="0" applyFont="1" applyFill="1" applyBorder="1" applyAlignment="1" applyProtection="1">
      <alignment horizontal="center"/>
      <protection locked="0"/>
    </xf>
    <xf numFmtId="0" fontId="6" fillId="34" borderId="17" xfId="0" applyFont="1" applyFill="1" applyBorder="1" applyAlignment="1" applyProtection="1">
      <alignment horizontal="center"/>
      <protection locked="0"/>
    </xf>
    <xf numFmtId="2" fontId="8" fillId="35" borderId="17" xfId="0" applyNumberFormat="1" applyFont="1" applyFill="1" applyBorder="1" applyAlignment="1" applyProtection="1">
      <alignment horizontal="center"/>
      <protection locked="0"/>
    </xf>
    <xf numFmtId="0" fontId="11" fillId="34" borderId="12" xfId="49" applyFont="1" applyFill="1" applyBorder="1" applyAlignment="1" applyProtection="1">
      <alignment horizontal="center"/>
      <protection locked="0"/>
    </xf>
    <xf numFmtId="0" fontId="11" fillId="34" borderId="23" xfId="49" applyFont="1" applyFill="1" applyBorder="1" applyAlignment="1" applyProtection="1">
      <alignment horizontal="centerContinuous"/>
      <protection locked="0"/>
    </xf>
    <xf numFmtId="0" fontId="11" fillId="34" borderId="18" xfId="49" applyFont="1" applyFill="1" applyBorder="1" applyAlignment="1" applyProtection="1">
      <alignment horizontal="centerContinuous"/>
      <protection locked="0"/>
    </xf>
    <xf numFmtId="0" fontId="11" fillId="34" borderId="24" xfId="49" applyFont="1" applyFill="1" applyBorder="1" applyAlignment="1" applyProtection="1">
      <alignment horizontal="centerContinuous"/>
      <protection locked="0"/>
    </xf>
    <xf numFmtId="0" fontId="17" fillId="33" borderId="0" xfId="49" applyFont="1" applyFill="1" applyBorder="1" applyProtection="1">
      <alignment/>
      <protection locked="0"/>
    </xf>
    <xf numFmtId="0" fontId="17" fillId="35" borderId="23" xfId="49" applyFont="1" applyFill="1" applyBorder="1" applyProtection="1">
      <alignment/>
      <protection locked="0"/>
    </xf>
    <xf numFmtId="0" fontId="17" fillId="35" borderId="18" xfId="49" applyFont="1" applyFill="1" applyBorder="1" applyProtection="1">
      <alignment/>
      <protection locked="0"/>
    </xf>
    <xf numFmtId="0" fontId="17" fillId="35" borderId="24" xfId="49" applyFont="1" applyFill="1" applyBorder="1" applyProtection="1">
      <alignment/>
      <protection locked="0"/>
    </xf>
    <xf numFmtId="0" fontId="17" fillId="35" borderId="27" xfId="49" applyFont="1" applyFill="1" applyBorder="1" applyProtection="1">
      <alignment/>
      <protection locked="0"/>
    </xf>
    <xf numFmtId="0" fontId="17" fillId="35" borderId="0" xfId="49" applyFont="1" applyFill="1" applyBorder="1" applyProtection="1">
      <alignment/>
      <protection locked="0"/>
    </xf>
    <xf numFmtId="0" fontId="17" fillId="35" borderId="28" xfId="49" applyFont="1" applyFill="1" applyBorder="1" applyProtection="1">
      <alignment/>
      <protection locked="0"/>
    </xf>
    <xf numFmtId="0" fontId="17" fillId="35" borderId="25" xfId="49" applyFont="1" applyFill="1" applyBorder="1" applyProtection="1">
      <alignment/>
      <protection locked="0"/>
    </xf>
    <xf numFmtId="0" fontId="17" fillId="35" borderId="19" xfId="49" applyFont="1" applyFill="1" applyBorder="1" applyProtection="1">
      <alignment/>
      <protection locked="0"/>
    </xf>
    <xf numFmtId="0" fontId="17" fillId="35" borderId="26" xfId="49" applyFont="1" applyFill="1" applyBorder="1" applyProtection="1">
      <alignment/>
      <protection locked="0"/>
    </xf>
    <xf numFmtId="0" fontId="12" fillId="33" borderId="0" xfId="49" applyFont="1" applyFill="1" applyBorder="1" applyProtection="1">
      <alignment/>
      <protection locked="0"/>
    </xf>
    <xf numFmtId="0" fontId="11" fillId="34" borderId="17" xfId="49" applyFont="1" applyFill="1" applyBorder="1" applyAlignment="1" applyProtection="1">
      <alignment horizontal="center"/>
      <protection locked="0"/>
    </xf>
    <xf numFmtId="0" fontId="11" fillId="34" borderId="11" xfId="49" applyFont="1" applyFill="1" applyBorder="1" applyAlignment="1" applyProtection="1">
      <alignment horizontal="center"/>
      <protection locked="0"/>
    </xf>
    <xf numFmtId="0" fontId="18" fillId="34" borderId="23" xfId="49" applyFont="1" applyFill="1" applyBorder="1" applyProtection="1">
      <alignment/>
      <protection locked="0"/>
    </xf>
    <xf numFmtId="0" fontId="18" fillId="34" borderId="18" xfId="49" applyFont="1" applyFill="1" applyBorder="1" applyProtection="1">
      <alignment/>
      <protection locked="0"/>
    </xf>
    <xf numFmtId="0" fontId="11" fillId="34" borderId="18" xfId="49" applyFont="1" applyFill="1" applyBorder="1" applyProtection="1">
      <alignment/>
      <protection locked="0"/>
    </xf>
    <xf numFmtId="0" fontId="18" fillId="34" borderId="24" xfId="49" applyFont="1" applyFill="1" applyBorder="1" applyProtection="1">
      <alignment/>
      <protection locked="0"/>
    </xf>
    <xf numFmtId="0" fontId="19" fillId="33" borderId="0" xfId="49" applyFont="1" applyFill="1" applyBorder="1" applyAlignment="1" applyProtection="1">
      <alignment horizontal="center"/>
      <protection locked="0"/>
    </xf>
    <xf numFmtId="2" fontId="17" fillId="35" borderId="23" xfId="49" applyNumberFormat="1" applyFont="1" applyFill="1" applyBorder="1" applyAlignment="1" applyProtection="1">
      <alignment/>
      <protection locked="0"/>
    </xf>
    <xf numFmtId="2" fontId="17" fillId="35" borderId="18" xfId="49" applyNumberFormat="1" applyFont="1" applyFill="1" applyBorder="1" applyAlignment="1" applyProtection="1">
      <alignment/>
      <protection locked="0"/>
    </xf>
    <xf numFmtId="2" fontId="17" fillId="35" borderId="24" xfId="49" applyNumberFormat="1" applyFont="1" applyFill="1" applyBorder="1" applyAlignment="1" applyProtection="1">
      <alignment/>
      <protection locked="0"/>
    </xf>
    <xf numFmtId="2" fontId="17" fillId="35" borderId="27" xfId="49" applyNumberFormat="1" applyFont="1" applyFill="1" applyBorder="1" applyAlignment="1" applyProtection="1">
      <alignment/>
      <protection locked="0"/>
    </xf>
    <xf numFmtId="2" fontId="17" fillId="35" borderId="0" xfId="49" applyNumberFormat="1" applyFont="1" applyFill="1" applyBorder="1" applyAlignment="1" applyProtection="1">
      <alignment/>
      <protection locked="0"/>
    </xf>
    <xf numFmtId="2" fontId="17" fillId="35" borderId="28" xfId="49" applyNumberFormat="1" applyFont="1" applyFill="1" applyBorder="1" applyAlignment="1" applyProtection="1">
      <alignment/>
      <protection locked="0"/>
    </xf>
    <xf numFmtId="2" fontId="17" fillId="35" borderId="25" xfId="49" applyNumberFormat="1" applyFont="1" applyFill="1" applyBorder="1" applyAlignment="1" applyProtection="1">
      <alignment/>
      <protection locked="0"/>
    </xf>
    <xf numFmtId="2" fontId="17" fillId="35" borderId="19" xfId="49" applyNumberFormat="1" applyFont="1" applyFill="1" applyBorder="1" applyAlignment="1" applyProtection="1">
      <alignment/>
      <protection locked="0"/>
    </xf>
    <xf numFmtId="2" fontId="17" fillId="35" borderId="26" xfId="49" applyNumberFormat="1" applyFont="1" applyFill="1" applyBorder="1" applyAlignment="1" applyProtection="1">
      <alignment/>
      <protection locked="0"/>
    </xf>
    <xf numFmtId="0" fontId="17" fillId="33" borderId="0" xfId="49" applyFont="1" applyFill="1" applyBorder="1" applyAlignment="1" applyProtection="1">
      <alignment/>
      <protection locked="0"/>
    </xf>
    <xf numFmtId="2" fontId="17" fillId="33" borderId="0" xfId="49" applyNumberFormat="1" applyFont="1" applyFill="1" applyBorder="1" applyAlignment="1" applyProtection="1">
      <alignment/>
      <protection locked="0"/>
    </xf>
    <xf numFmtId="2" fontId="17" fillId="35" borderId="23" xfId="49" applyNumberFormat="1" applyFont="1" applyFill="1" applyBorder="1" applyProtection="1">
      <alignment/>
      <protection locked="0"/>
    </xf>
    <xf numFmtId="2" fontId="17" fillId="35" borderId="18" xfId="49" applyNumberFormat="1" applyFont="1" applyFill="1" applyBorder="1" applyProtection="1">
      <alignment/>
      <protection locked="0"/>
    </xf>
    <xf numFmtId="2" fontId="17" fillId="35" borderId="24" xfId="49" applyNumberFormat="1" applyFont="1" applyFill="1" applyBorder="1" applyProtection="1">
      <alignment/>
      <protection locked="0"/>
    </xf>
    <xf numFmtId="2" fontId="17" fillId="35" borderId="27" xfId="49" applyNumberFormat="1" applyFont="1" applyFill="1" applyBorder="1" applyProtection="1">
      <alignment/>
      <protection locked="0"/>
    </xf>
    <xf numFmtId="2" fontId="17" fillId="35" borderId="0" xfId="49" applyNumberFormat="1" applyFont="1" applyFill="1" applyBorder="1" applyProtection="1">
      <alignment/>
      <protection locked="0"/>
    </xf>
    <xf numFmtId="2" fontId="17" fillId="35" borderId="28" xfId="49" applyNumberFormat="1" applyFont="1" applyFill="1" applyBorder="1" applyProtection="1">
      <alignment/>
      <protection locked="0"/>
    </xf>
    <xf numFmtId="2" fontId="17" fillId="35" borderId="25" xfId="49" applyNumberFormat="1" applyFont="1" applyFill="1" applyBorder="1" applyProtection="1">
      <alignment/>
      <protection locked="0"/>
    </xf>
    <xf numFmtId="2" fontId="17" fillId="35" borderId="19" xfId="49" applyNumberFormat="1" applyFont="1" applyFill="1" applyBorder="1" applyProtection="1">
      <alignment/>
      <protection locked="0"/>
    </xf>
    <xf numFmtId="2" fontId="17" fillId="35" borderId="26" xfId="49" applyNumberFormat="1" applyFont="1" applyFill="1" applyBorder="1" applyProtection="1">
      <alignment/>
      <protection locked="0"/>
    </xf>
    <xf numFmtId="2" fontId="17" fillId="33" borderId="0" xfId="49" applyNumberFormat="1" applyFont="1" applyFill="1" applyBorder="1" applyProtection="1">
      <alignment/>
      <protection locked="0"/>
    </xf>
    <xf numFmtId="2" fontId="17" fillId="33" borderId="12" xfId="49" applyNumberFormat="1" applyFont="1" applyFill="1" applyBorder="1" applyProtection="1">
      <alignment/>
      <protection locked="0"/>
    </xf>
    <xf numFmtId="2" fontId="17" fillId="33" borderId="10" xfId="49" applyNumberFormat="1" applyFont="1" applyFill="1" applyBorder="1" applyProtection="1">
      <alignment/>
      <protection locked="0"/>
    </xf>
    <xf numFmtId="2" fontId="17" fillId="33" borderId="11" xfId="49" applyNumberFormat="1" applyFont="1" applyFill="1" applyBorder="1" applyProtection="1">
      <alignment/>
      <protection locked="0"/>
    </xf>
    <xf numFmtId="2" fontId="17" fillId="33" borderId="13" xfId="49" applyNumberFormat="1" applyFont="1" applyFill="1" applyBorder="1" applyAlignment="1" applyProtection="1">
      <alignment horizontal="center"/>
      <protection locked="0"/>
    </xf>
    <xf numFmtId="2" fontId="17" fillId="33" borderId="14" xfId="49" applyNumberFormat="1" applyFont="1" applyFill="1" applyBorder="1" applyAlignment="1" applyProtection="1">
      <alignment horizontal="center"/>
      <protection locked="0"/>
    </xf>
    <xf numFmtId="2" fontId="17" fillId="33" borderId="15" xfId="49" applyNumberFormat="1" applyFont="1" applyFill="1" applyBorder="1" applyAlignment="1" applyProtection="1">
      <alignment horizontal="center"/>
      <protection locked="0"/>
    </xf>
    <xf numFmtId="2" fontId="17" fillId="33" borderId="17" xfId="49" applyNumberFormat="1" applyFont="1" applyFill="1" applyBorder="1" applyAlignment="1" applyProtection="1">
      <alignment horizontal="center"/>
      <protection locked="0"/>
    </xf>
    <xf numFmtId="169" fontId="17" fillId="33" borderId="0" xfId="49" applyNumberFormat="1" applyFont="1" applyFill="1" applyBorder="1" applyProtection="1">
      <alignment/>
      <protection locked="0"/>
    </xf>
    <xf numFmtId="0" fontId="11" fillId="34" borderId="18" xfId="49" applyFont="1" applyFill="1" applyBorder="1" applyAlignment="1" applyProtection="1">
      <alignment horizontal="right"/>
      <protection locked="0"/>
    </xf>
    <xf numFmtId="169" fontId="17" fillId="33" borderId="13" xfId="49" applyNumberFormat="1" applyFont="1" applyFill="1" applyBorder="1" applyProtection="1">
      <alignment/>
      <protection locked="0"/>
    </xf>
    <xf numFmtId="169" fontId="17" fillId="33" borderId="14" xfId="49" applyNumberFormat="1" applyFont="1" applyFill="1" applyBorder="1" applyProtection="1">
      <alignment/>
      <protection locked="0"/>
    </xf>
    <xf numFmtId="169" fontId="17" fillId="33" borderId="15" xfId="49" applyNumberFormat="1" applyFont="1" applyFill="1" applyBorder="1" applyProtection="1">
      <alignment/>
      <protection locked="0"/>
    </xf>
    <xf numFmtId="169" fontId="17" fillId="33" borderId="17" xfId="49" applyNumberFormat="1" applyFont="1" applyFill="1" applyBorder="1" applyProtection="1">
      <alignment/>
      <protection locked="0"/>
    </xf>
    <xf numFmtId="2" fontId="17" fillId="35" borderId="24" xfId="49" applyNumberFormat="1" applyFont="1" applyFill="1" applyBorder="1" applyAlignment="1" applyProtection="1">
      <alignment horizontal="center"/>
      <protection locked="0"/>
    </xf>
    <xf numFmtId="2" fontId="17" fillId="35" borderId="28" xfId="49" applyNumberFormat="1" applyFont="1" applyFill="1" applyBorder="1" applyAlignment="1" applyProtection="1">
      <alignment horizontal="center"/>
      <protection locked="0"/>
    </xf>
    <xf numFmtId="2" fontId="17" fillId="35" borderId="26" xfId="49" applyNumberFormat="1" applyFont="1" applyFill="1" applyBorder="1" applyAlignment="1" applyProtection="1">
      <alignment horizontal="center"/>
      <protection locked="0"/>
    </xf>
    <xf numFmtId="0" fontId="8" fillId="33" borderId="0" xfId="50" applyFont="1" applyFill="1" applyProtection="1">
      <alignment/>
      <protection locked="0"/>
    </xf>
    <xf numFmtId="0" fontId="4" fillId="34" borderId="25" xfId="50" applyFont="1" applyFill="1" applyBorder="1" applyProtection="1">
      <alignment/>
      <protection locked="0"/>
    </xf>
    <xf numFmtId="0" fontId="4" fillId="34" borderId="26" xfId="50" applyFont="1" applyFill="1" applyBorder="1" applyAlignment="1" applyProtection="1">
      <alignment horizontal="right"/>
      <protection locked="0"/>
    </xf>
    <xf numFmtId="0" fontId="9" fillId="33" borderId="0" xfId="50" applyFont="1" applyFill="1" applyProtection="1">
      <alignment/>
      <protection locked="0"/>
    </xf>
    <xf numFmtId="2" fontId="8" fillId="35" borderId="23" xfId="50" applyNumberFormat="1" applyFont="1" applyFill="1" applyBorder="1" applyAlignment="1" applyProtection="1">
      <alignment horizontal="center"/>
      <protection locked="0"/>
    </xf>
    <xf numFmtId="0" fontId="8" fillId="33" borderId="0" xfId="50" applyFont="1" applyFill="1" applyAlignment="1" applyProtection="1">
      <alignment horizontal="center"/>
      <protection locked="0"/>
    </xf>
    <xf numFmtId="2" fontId="8" fillId="35" borderId="27" xfId="50" applyNumberFormat="1" applyFont="1" applyFill="1" applyBorder="1" applyAlignment="1" applyProtection="1">
      <alignment horizontal="center"/>
      <protection locked="0"/>
    </xf>
    <xf numFmtId="2" fontId="8" fillId="35" borderId="25" xfId="50" applyNumberFormat="1" applyFont="1" applyFill="1" applyBorder="1" applyAlignment="1" applyProtection="1">
      <alignment horizontal="center"/>
      <protection locked="0"/>
    </xf>
    <xf numFmtId="0" fontId="6" fillId="34" borderId="23" xfId="50" applyFont="1" applyFill="1" applyBorder="1" applyProtection="1">
      <alignment/>
      <protection locked="0"/>
    </xf>
    <xf numFmtId="0" fontId="6" fillId="34" borderId="18" xfId="50" applyFont="1" applyFill="1" applyBorder="1" applyProtection="1">
      <alignment/>
      <protection locked="0"/>
    </xf>
    <xf numFmtId="0" fontId="9" fillId="33" borderId="24" xfId="50" applyFont="1" applyFill="1" applyBorder="1" applyProtection="1">
      <alignment/>
      <protection locked="0"/>
    </xf>
    <xf numFmtId="0" fontId="6" fillId="34" borderId="24" xfId="50" applyFont="1" applyFill="1" applyBorder="1" applyProtection="1">
      <alignment/>
      <protection locked="0"/>
    </xf>
    <xf numFmtId="0" fontId="6" fillId="34" borderId="27" xfId="50" applyFont="1" applyFill="1" applyBorder="1" applyProtection="1">
      <alignment/>
      <protection locked="0"/>
    </xf>
    <xf numFmtId="0" fontId="6" fillId="34" borderId="0" xfId="50" applyFont="1" applyFill="1" applyBorder="1" applyProtection="1">
      <alignment/>
      <protection locked="0"/>
    </xf>
    <xf numFmtId="0" fontId="9" fillId="33" borderId="28" xfId="50" applyFont="1" applyFill="1" applyBorder="1" applyProtection="1">
      <alignment/>
      <protection locked="0"/>
    </xf>
    <xf numFmtId="0" fontId="6" fillId="34" borderId="28" xfId="50" applyFont="1" applyFill="1" applyBorder="1" applyProtection="1">
      <alignment/>
      <protection locked="0"/>
    </xf>
    <xf numFmtId="169" fontId="9" fillId="33" borderId="28" xfId="50" applyNumberFormat="1" applyFont="1" applyFill="1" applyBorder="1" applyProtection="1">
      <alignment/>
      <protection locked="0"/>
    </xf>
    <xf numFmtId="0" fontId="6" fillId="34" borderId="25" xfId="50" applyFont="1" applyFill="1" applyBorder="1" applyProtection="1">
      <alignment/>
      <protection locked="0"/>
    </xf>
    <xf numFmtId="0" fontId="6" fillId="34" borderId="19" xfId="50" applyFont="1" applyFill="1" applyBorder="1" applyProtection="1">
      <alignment/>
      <protection locked="0"/>
    </xf>
    <xf numFmtId="0" fontId="9" fillId="33" borderId="26" xfId="50" applyFont="1" applyFill="1" applyBorder="1" applyProtection="1">
      <alignment/>
      <protection locked="0"/>
    </xf>
    <xf numFmtId="0" fontId="6" fillId="34" borderId="26" xfId="50" applyFont="1" applyFill="1" applyBorder="1" applyProtection="1">
      <alignment/>
      <protection locked="0"/>
    </xf>
    <xf numFmtId="0" fontId="4" fillId="34" borderId="17" xfId="0" applyFont="1" applyFill="1" applyBorder="1" applyAlignment="1" applyProtection="1">
      <alignment horizontal="center" wrapText="1"/>
      <protection locked="0"/>
    </xf>
    <xf numFmtId="0" fontId="4" fillId="34" borderId="14" xfId="0" applyFont="1" applyFill="1" applyBorder="1" applyAlignment="1" applyProtection="1">
      <alignment horizontal="center"/>
      <protection locked="0"/>
    </xf>
    <xf numFmtId="0" fontId="4" fillId="34" borderId="15" xfId="0" applyFont="1" applyFill="1" applyBorder="1" applyAlignment="1" applyProtection="1">
      <alignment horizontal="center"/>
      <protection locked="0"/>
    </xf>
    <xf numFmtId="10" fontId="8" fillId="35" borderId="18" xfId="0" applyNumberFormat="1" applyFont="1" applyFill="1" applyBorder="1" applyAlignment="1" applyProtection="1">
      <alignment horizontal="center"/>
      <protection locked="0"/>
    </xf>
    <xf numFmtId="168" fontId="10" fillId="35" borderId="18" xfId="0" applyNumberFormat="1" applyFont="1" applyFill="1" applyBorder="1" applyAlignment="1" applyProtection="1">
      <alignment horizontal="center"/>
      <protection locked="0"/>
    </xf>
    <xf numFmtId="168" fontId="10" fillId="35" borderId="0" xfId="0" applyNumberFormat="1" applyFont="1" applyFill="1" applyBorder="1" applyAlignment="1" applyProtection="1">
      <alignment horizontal="center"/>
      <protection locked="0"/>
    </xf>
    <xf numFmtId="168" fontId="10" fillId="35" borderId="19" xfId="0" applyNumberFormat="1" applyFont="1" applyFill="1" applyBorder="1" applyAlignment="1" applyProtection="1">
      <alignment horizontal="center"/>
      <protection locked="0"/>
    </xf>
    <xf numFmtId="10" fontId="8" fillId="35" borderId="24" xfId="0" applyNumberFormat="1" applyFont="1" applyFill="1" applyBorder="1" applyAlignment="1" applyProtection="1">
      <alignment horizontal="center"/>
      <protection locked="0"/>
    </xf>
    <xf numFmtId="0" fontId="20" fillId="35" borderId="23" xfId="0" applyFont="1" applyFill="1" applyBorder="1" applyAlignment="1" applyProtection="1">
      <alignment/>
      <protection locked="0"/>
    </xf>
    <xf numFmtId="0" fontId="9" fillId="35" borderId="0" xfId="0" applyFont="1" applyFill="1" applyBorder="1" applyAlignment="1" applyProtection="1">
      <alignment/>
      <protection locked="0"/>
    </xf>
    <xf numFmtId="0" fontId="4" fillId="34" borderId="23" xfId="0" applyFont="1" applyFill="1" applyBorder="1" applyAlignment="1" applyProtection="1">
      <alignment horizontal="center"/>
      <protection locked="0"/>
    </xf>
    <xf numFmtId="0" fontId="4" fillId="34" borderId="18" xfId="0" applyFont="1" applyFill="1" applyBorder="1" applyAlignment="1" applyProtection="1">
      <alignment horizontal="center"/>
      <protection locked="0"/>
    </xf>
    <xf numFmtId="0" fontId="4" fillId="34" borderId="24" xfId="0" applyFont="1" applyFill="1" applyBorder="1" applyAlignment="1" applyProtection="1">
      <alignment horizontal="center"/>
      <protection locked="0"/>
    </xf>
    <xf numFmtId="0" fontId="4" fillId="34" borderId="27" xfId="0" applyFont="1" applyFill="1" applyBorder="1" applyAlignment="1" applyProtection="1">
      <alignment horizontal="center"/>
      <protection locked="0"/>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wrapText="1"/>
      <protection locked="0"/>
    </xf>
    <xf numFmtId="0" fontId="4" fillId="34" borderId="28" xfId="0" applyFont="1" applyFill="1" applyBorder="1" applyAlignment="1" applyProtection="1">
      <alignment horizontal="center" wrapText="1"/>
      <protection locked="0"/>
    </xf>
    <xf numFmtId="0" fontId="4" fillId="34" borderId="18" xfId="0" applyFont="1" applyFill="1" applyBorder="1" applyAlignment="1" applyProtection="1">
      <alignment horizontal="center" wrapText="1"/>
      <protection locked="0"/>
    </xf>
    <xf numFmtId="0" fontId="4" fillId="34" borderId="24" xfId="0" applyFont="1" applyFill="1" applyBorder="1" applyAlignment="1" applyProtection="1">
      <alignment horizontal="center" wrapText="1"/>
      <protection locked="0"/>
    </xf>
    <xf numFmtId="0" fontId="4" fillId="34" borderId="12" xfId="0" applyFont="1" applyFill="1" applyBorder="1" applyAlignment="1" applyProtection="1">
      <alignment horizontal="center"/>
      <protection locked="0"/>
    </xf>
    <xf numFmtId="0" fontId="4" fillId="34" borderId="10" xfId="0" applyFont="1" applyFill="1" applyBorder="1" applyAlignment="1" applyProtection="1">
      <alignment horizontal="center"/>
      <protection locked="0"/>
    </xf>
    <xf numFmtId="0" fontId="4" fillId="34" borderId="11" xfId="0" applyFont="1" applyFill="1" applyBorder="1" applyAlignment="1" applyProtection="1">
      <alignment horizontal="center"/>
      <protection locked="0"/>
    </xf>
    <xf numFmtId="169" fontId="21" fillId="35" borderId="23" xfId="0" applyNumberFormat="1" applyFont="1" applyFill="1" applyBorder="1" applyAlignment="1" applyProtection="1">
      <alignment horizontal="center"/>
      <protection locked="0"/>
    </xf>
    <xf numFmtId="169" fontId="21" fillId="35" borderId="18" xfId="0" applyNumberFormat="1" applyFont="1" applyFill="1" applyBorder="1" applyAlignment="1" applyProtection="1">
      <alignment horizontal="center"/>
      <protection locked="0"/>
    </xf>
    <xf numFmtId="10" fontId="21" fillId="35" borderId="24" xfId="64" applyNumberFormat="1" applyFont="1" applyFill="1" applyBorder="1" applyAlignment="1" applyProtection="1">
      <alignment horizontal="center"/>
      <protection locked="0"/>
    </xf>
    <xf numFmtId="169" fontId="21" fillId="35" borderId="27" xfId="0" applyNumberFormat="1" applyFont="1" applyFill="1" applyBorder="1" applyAlignment="1" applyProtection="1">
      <alignment horizontal="center"/>
      <protection locked="0"/>
    </xf>
    <xf numFmtId="169" fontId="21" fillId="35" borderId="0" xfId="0" applyNumberFormat="1" applyFont="1" applyFill="1" applyBorder="1" applyAlignment="1" applyProtection="1">
      <alignment horizontal="center"/>
      <protection locked="0"/>
    </xf>
    <xf numFmtId="10" fontId="21" fillId="35" borderId="28" xfId="64" applyNumberFormat="1" applyFont="1" applyFill="1" applyBorder="1" applyAlignment="1" applyProtection="1">
      <alignment horizontal="center"/>
      <protection locked="0"/>
    </xf>
    <xf numFmtId="169" fontId="21" fillId="35" borderId="25" xfId="0" applyNumberFormat="1" applyFont="1" applyFill="1" applyBorder="1" applyAlignment="1" applyProtection="1">
      <alignment horizontal="center"/>
      <protection locked="0"/>
    </xf>
    <xf numFmtId="169" fontId="21" fillId="35" borderId="19" xfId="0" applyNumberFormat="1" applyFont="1" applyFill="1" applyBorder="1" applyAlignment="1" applyProtection="1">
      <alignment horizontal="center"/>
      <protection locked="0"/>
    </xf>
    <xf numFmtId="10" fontId="21" fillId="35" borderId="26" xfId="64" applyNumberFormat="1" applyFont="1" applyFill="1" applyBorder="1" applyAlignment="1" applyProtection="1">
      <alignment horizontal="center"/>
      <protection locked="0"/>
    </xf>
    <xf numFmtId="0" fontId="6" fillId="34" borderId="0" xfId="0" applyFont="1" applyFill="1" applyAlignment="1" applyProtection="1">
      <alignment/>
      <protection locked="0"/>
    </xf>
    <xf numFmtId="0" fontId="6" fillId="34" borderId="12" xfId="0" applyFont="1" applyFill="1" applyBorder="1" applyAlignment="1" applyProtection="1">
      <alignment horizontal="right"/>
      <protection locked="0"/>
    </xf>
    <xf numFmtId="0" fontId="6" fillId="34" borderId="10" xfId="0" applyFont="1" applyFill="1" applyBorder="1" applyAlignment="1" applyProtection="1">
      <alignment horizontal="right"/>
      <protection locked="0"/>
    </xf>
    <xf numFmtId="0" fontId="6" fillId="34" borderId="11" xfId="0" applyFont="1" applyFill="1" applyBorder="1" applyAlignment="1" applyProtection="1">
      <alignment horizontal="right"/>
      <protection locked="0"/>
    </xf>
    <xf numFmtId="2" fontId="8" fillId="35" borderId="18" xfId="0" applyNumberFormat="1" applyFont="1" applyFill="1" applyBorder="1" applyAlignment="1" applyProtection="1">
      <alignment horizontal="center"/>
      <protection locked="0"/>
    </xf>
    <xf numFmtId="2" fontId="8" fillId="35" borderId="24" xfId="0" applyNumberFormat="1" applyFont="1" applyFill="1" applyBorder="1" applyAlignment="1" applyProtection="1">
      <alignment horizontal="center"/>
      <protection locked="0"/>
    </xf>
    <xf numFmtId="2" fontId="8" fillId="35" borderId="0" xfId="0" applyNumberFormat="1" applyFont="1" applyFill="1" applyBorder="1" applyAlignment="1" applyProtection="1">
      <alignment horizontal="center"/>
      <protection locked="0"/>
    </xf>
    <xf numFmtId="2" fontId="8" fillId="35" borderId="28" xfId="0" applyNumberFormat="1" applyFont="1" applyFill="1" applyBorder="1" applyAlignment="1" applyProtection="1">
      <alignment horizontal="center"/>
      <protection locked="0"/>
    </xf>
    <xf numFmtId="2" fontId="8" fillId="35" borderId="19" xfId="0" applyNumberFormat="1" applyFont="1" applyFill="1" applyBorder="1" applyAlignment="1" applyProtection="1">
      <alignment horizontal="center"/>
      <protection locked="0"/>
    </xf>
    <xf numFmtId="2" fontId="8" fillId="35" borderId="26" xfId="0" applyNumberFormat="1" applyFont="1" applyFill="1" applyBorder="1" applyAlignment="1" applyProtection="1">
      <alignment horizontal="center"/>
      <protection locked="0"/>
    </xf>
    <xf numFmtId="0" fontId="11" fillId="34" borderId="10" xfId="49" applyFont="1" applyFill="1" applyBorder="1" applyAlignment="1" applyProtection="1">
      <alignment horizontal="center"/>
      <protection locked="0"/>
    </xf>
    <xf numFmtId="0" fontId="11" fillId="34" borderId="23" xfId="49" applyFont="1" applyFill="1" applyBorder="1" applyAlignment="1" applyProtection="1">
      <alignment horizontal="center"/>
      <protection locked="0"/>
    </xf>
    <xf numFmtId="0" fontId="11" fillId="34" borderId="18" xfId="49" applyFont="1" applyFill="1" applyBorder="1" applyAlignment="1" applyProtection="1">
      <alignment horizontal="center"/>
      <protection locked="0"/>
    </xf>
    <xf numFmtId="0" fontId="11" fillId="34" borderId="24" xfId="49" applyFont="1" applyFill="1" applyBorder="1" applyAlignment="1" applyProtection="1">
      <alignment horizontal="center"/>
      <protection locked="0"/>
    </xf>
    <xf numFmtId="174" fontId="17" fillId="35" borderId="23" xfId="49" applyNumberFormat="1" applyFont="1" applyFill="1" applyBorder="1" applyAlignment="1" applyProtection="1">
      <alignment horizontal="center"/>
      <protection locked="0"/>
    </xf>
    <xf numFmtId="3" fontId="17" fillId="35" borderId="18" xfId="49" applyNumberFormat="1" applyFont="1" applyFill="1" applyBorder="1" applyAlignment="1" applyProtection="1">
      <alignment horizontal="center"/>
      <protection locked="0"/>
    </xf>
    <xf numFmtId="3" fontId="17" fillId="35" borderId="24" xfId="49" applyNumberFormat="1" applyFont="1" applyFill="1" applyBorder="1" applyAlignment="1" applyProtection="1">
      <alignment horizontal="center"/>
      <protection locked="0"/>
    </xf>
    <xf numFmtId="3" fontId="17" fillId="0" borderId="18" xfId="49" applyNumberFormat="1" applyFont="1" applyFill="1" applyBorder="1" applyAlignment="1">
      <alignment horizontal="center"/>
      <protection/>
    </xf>
    <xf numFmtId="174" fontId="17" fillId="35" borderId="27" xfId="49" applyNumberFormat="1" applyFont="1" applyFill="1" applyBorder="1" applyAlignment="1" applyProtection="1">
      <alignment horizontal="center"/>
      <protection locked="0"/>
    </xf>
    <xf numFmtId="3" fontId="17" fillId="35" borderId="0" xfId="49" applyNumberFormat="1" applyFont="1" applyFill="1" applyBorder="1" applyAlignment="1" applyProtection="1">
      <alignment horizontal="center"/>
      <protection locked="0"/>
    </xf>
    <xf numFmtId="3" fontId="17" fillId="35" borderId="28" xfId="49" applyNumberFormat="1" applyFont="1" applyFill="1" applyBorder="1" applyAlignment="1" applyProtection="1">
      <alignment horizontal="center"/>
      <protection locked="0"/>
    </xf>
    <xf numFmtId="3" fontId="17" fillId="0" borderId="0" xfId="49" applyNumberFormat="1" applyFont="1" applyFill="1" applyBorder="1" applyAlignment="1">
      <alignment horizontal="center"/>
      <protection/>
    </xf>
    <xf numFmtId="177" fontId="17" fillId="35" borderId="23" xfId="49" applyNumberFormat="1" applyFont="1" applyFill="1" applyBorder="1" applyAlignment="1" applyProtection="1">
      <alignment horizontal="center"/>
      <protection locked="0"/>
    </xf>
    <xf numFmtId="177" fontId="17" fillId="35" borderId="18" xfId="49" applyNumberFormat="1" applyFont="1" applyFill="1" applyBorder="1" applyAlignment="1" applyProtection="1">
      <alignment horizontal="center"/>
      <protection locked="0"/>
    </xf>
    <xf numFmtId="177" fontId="17" fillId="35" borderId="24" xfId="49" applyNumberFormat="1" applyFont="1" applyFill="1" applyBorder="1" applyAlignment="1" applyProtection="1">
      <alignment horizontal="center"/>
      <protection locked="0"/>
    </xf>
    <xf numFmtId="177" fontId="17" fillId="35" borderId="27" xfId="49" applyNumberFormat="1" applyFont="1" applyFill="1" applyBorder="1" applyAlignment="1" applyProtection="1">
      <alignment horizontal="center"/>
      <protection locked="0"/>
    </xf>
    <xf numFmtId="177" fontId="17" fillId="35" borderId="0" xfId="49" applyNumberFormat="1" applyFont="1" applyFill="1" applyBorder="1" applyAlignment="1" applyProtection="1">
      <alignment horizontal="center"/>
      <protection locked="0"/>
    </xf>
    <xf numFmtId="177" fontId="17" fillId="35" borderId="28" xfId="49" applyNumberFormat="1" applyFont="1" applyFill="1" applyBorder="1" applyAlignment="1" applyProtection="1">
      <alignment horizontal="center"/>
      <protection locked="0"/>
    </xf>
    <xf numFmtId="174" fontId="17" fillId="35" borderId="25" xfId="49" applyNumberFormat="1" applyFont="1" applyFill="1" applyBorder="1" applyAlignment="1" applyProtection="1">
      <alignment horizontal="center"/>
      <protection locked="0"/>
    </xf>
    <xf numFmtId="3" fontId="17" fillId="35" borderId="19" xfId="49" applyNumberFormat="1" applyFont="1" applyFill="1" applyBorder="1" applyAlignment="1" applyProtection="1">
      <alignment horizontal="center"/>
      <protection locked="0"/>
    </xf>
    <xf numFmtId="3" fontId="17" fillId="35" borderId="26" xfId="49" applyNumberFormat="1" applyFont="1" applyFill="1" applyBorder="1" applyAlignment="1" applyProtection="1">
      <alignment horizontal="center"/>
      <protection locked="0"/>
    </xf>
    <xf numFmtId="177" fontId="17" fillId="35" borderId="25" xfId="49" applyNumberFormat="1" applyFont="1" applyFill="1" applyBorder="1" applyAlignment="1" applyProtection="1">
      <alignment horizontal="center"/>
      <protection locked="0"/>
    </xf>
    <xf numFmtId="177" fontId="17" fillId="35" borderId="19" xfId="49" applyNumberFormat="1" applyFont="1" applyFill="1" applyBorder="1" applyAlignment="1" applyProtection="1">
      <alignment horizontal="center"/>
      <protection locked="0"/>
    </xf>
    <xf numFmtId="177" fontId="17" fillId="35" borderId="26" xfId="49" applyNumberFormat="1" applyFont="1" applyFill="1" applyBorder="1" applyAlignment="1" applyProtection="1">
      <alignment horizontal="center"/>
      <protection locked="0"/>
    </xf>
    <xf numFmtId="17" fontId="11" fillId="34" borderId="0" xfId="49" applyNumberFormat="1" applyFont="1" applyFill="1" applyBorder="1" applyAlignment="1">
      <alignment horizontal="center"/>
      <protection/>
    </xf>
    <xf numFmtId="177" fontId="17" fillId="35" borderId="23" xfId="49" applyNumberFormat="1" applyFont="1" applyFill="1" applyBorder="1" applyAlignment="1">
      <alignment horizontal="center"/>
      <protection/>
    </xf>
    <xf numFmtId="177" fontId="17" fillId="35" borderId="18" xfId="49" applyNumberFormat="1" applyFont="1" applyFill="1" applyBorder="1" applyAlignment="1">
      <alignment horizontal="center"/>
      <protection/>
    </xf>
    <xf numFmtId="177" fontId="17" fillId="35" borderId="24" xfId="49" applyNumberFormat="1" applyFont="1" applyFill="1" applyBorder="1" applyAlignment="1">
      <alignment horizontal="center"/>
      <protection/>
    </xf>
    <xf numFmtId="0" fontId="11" fillId="34" borderId="0" xfId="49" applyFont="1" applyFill="1" applyBorder="1" applyAlignment="1">
      <alignment horizontal="center"/>
      <protection/>
    </xf>
    <xf numFmtId="177" fontId="17" fillId="35" borderId="25" xfId="49" applyNumberFormat="1" applyFont="1" applyFill="1" applyBorder="1" applyAlignment="1">
      <alignment horizontal="center"/>
      <protection/>
    </xf>
    <xf numFmtId="177" fontId="17" fillId="35" borderId="19" xfId="49" applyNumberFormat="1" applyFont="1" applyFill="1" applyBorder="1" applyAlignment="1">
      <alignment horizontal="center"/>
      <protection/>
    </xf>
    <xf numFmtId="177" fontId="17" fillId="35" borderId="26" xfId="49" applyNumberFormat="1" applyFont="1" applyFill="1" applyBorder="1" applyAlignment="1">
      <alignment horizontal="center"/>
      <protection/>
    </xf>
    <xf numFmtId="0" fontId="12" fillId="33" borderId="0" xfId="49" applyFont="1" applyFill="1" applyBorder="1" applyAlignment="1">
      <alignment horizontal="center"/>
      <protection/>
    </xf>
    <xf numFmtId="171" fontId="17" fillId="33" borderId="0" xfId="49" applyNumberFormat="1" applyFont="1" applyFill="1" applyBorder="1" applyAlignment="1">
      <alignment horizontal="center"/>
      <protection/>
    </xf>
    <xf numFmtId="2" fontId="17" fillId="35" borderId="13" xfId="49" applyNumberFormat="1" applyFont="1" applyFill="1" applyBorder="1" applyAlignment="1" applyProtection="1">
      <alignment horizontal="center"/>
      <protection locked="0"/>
    </xf>
    <xf numFmtId="172" fontId="17" fillId="35" borderId="24" xfId="49" applyNumberFormat="1" applyFont="1" applyFill="1" applyBorder="1" applyAlignment="1" applyProtection="1">
      <alignment horizontal="center"/>
      <protection locked="0"/>
    </xf>
    <xf numFmtId="2" fontId="17" fillId="35" borderId="14" xfId="49" applyNumberFormat="1" applyFont="1" applyFill="1" applyBorder="1" applyAlignment="1" applyProtection="1">
      <alignment horizontal="center"/>
      <protection locked="0"/>
    </xf>
    <xf numFmtId="172" fontId="17" fillId="35" borderId="28" xfId="49" applyNumberFormat="1" applyFont="1" applyFill="1" applyBorder="1" applyAlignment="1" applyProtection="1">
      <alignment horizontal="center"/>
      <protection locked="0"/>
    </xf>
    <xf numFmtId="2" fontId="17" fillId="35" borderId="15" xfId="49" applyNumberFormat="1" applyFont="1" applyFill="1" applyBorder="1" applyAlignment="1" applyProtection="1">
      <alignment horizontal="center"/>
      <protection locked="0"/>
    </xf>
    <xf numFmtId="172" fontId="17" fillId="35" borderId="26" xfId="49" applyNumberFormat="1" applyFont="1" applyFill="1" applyBorder="1" applyAlignment="1" applyProtection="1">
      <alignment horizontal="center"/>
      <protection locked="0"/>
    </xf>
    <xf numFmtId="0" fontId="11" fillId="34" borderId="13" xfId="49" applyFont="1" applyFill="1" applyBorder="1" applyAlignment="1" applyProtection="1">
      <alignment horizontal="center"/>
      <protection locked="0"/>
    </xf>
    <xf numFmtId="0" fontId="11" fillId="34" borderId="14" xfId="49" applyFont="1" applyFill="1" applyBorder="1" applyAlignment="1" applyProtection="1">
      <alignment horizontal="center"/>
      <protection locked="0"/>
    </xf>
    <xf numFmtId="0" fontId="11" fillId="34" borderId="15" xfId="49" applyFont="1" applyFill="1" applyBorder="1" applyAlignment="1" applyProtection="1">
      <alignment horizontal="center"/>
      <protection locked="0"/>
    </xf>
    <xf numFmtId="0" fontId="11" fillId="34" borderId="12" xfId="49" applyFont="1" applyFill="1" applyBorder="1" applyAlignment="1" applyProtection="1">
      <alignment horizontal="center"/>
      <protection locked="0"/>
    </xf>
    <xf numFmtId="0" fontId="11" fillId="34" borderId="10" xfId="49" applyFont="1" applyFill="1" applyBorder="1" applyAlignment="1" applyProtection="1">
      <alignment horizontal="center"/>
      <protection locked="0"/>
    </xf>
    <xf numFmtId="0" fontId="11" fillId="34" borderId="11" xfId="49" applyFont="1" applyFill="1" applyBorder="1" applyAlignment="1" applyProtection="1">
      <alignment horizontal="center"/>
      <protection locked="0"/>
    </xf>
    <xf numFmtId="0" fontId="11" fillId="34" borderId="13" xfId="49" applyFont="1" applyFill="1" applyBorder="1" applyProtection="1">
      <alignment/>
      <protection locked="0"/>
    </xf>
    <xf numFmtId="0" fontId="11" fillId="34" borderId="14" xfId="49" applyFont="1" applyFill="1" applyBorder="1" applyProtection="1">
      <alignment/>
      <protection locked="0"/>
    </xf>
    <xf numFmtId="0" fontId="11" fillId="34" borderId="15" xfId="49" applyFont="1" applyFill="1" applyBorder="1" applyProtection="1">
      <alignment/>
      <protection locked="0"/>
    </xf>
    <xf numFmtId="0" fontId="11" fillId="34" borderId="17" xfId="49" applyFont="1" applyFill="1" applyBorder="1" applyAlignment="1" applyProtection="1">
      <alignment horizontal="center"/>
      <protection locked="0"/>
    </xf>
    <xf numFmtId="0" fontId="12" fillId="33" borderId="0" xfId="49" applyFont="1" applyFill="1" applyBorder="1">
      <alignment/>
      <protection/>
    </xf>
    <xf numFmtId="0" fontId="11" fillId="34" borderId="10" xfId="49" applyFont="1" applyFill="1" applyBorder="1" applyProtection="1">
      <alignment/>
      <protection locked="0"/>
    </xf>
    <xf numFmtId="2" fontId="17" fillId="33" borderId="24" xfId="49" applyNumberFormat="1" applyFont="1" applyFill="1" applyBorder="1" applyAlignment="1" applyProtection="1">
      <alignment horizontal="center"/>
      <protection locked="0"/>
    </xf>
    <xf numFmtId="2" fontId="17" fillId="33" borderId="28" xfId="49" applyNumberFormat="1" applyFont="1" applyFill="1" applyBorder="1" applyAlignment="1" applyProtection="1">
      <alignment horizontal="center"/>
      <protection locked="0"/>
    </xf>
    <xf numFmtId="2" fontId="17" fillId="33" borderId="26" xfId="49" applyNumberFormat="1" applyFont="1" applyFill="1" applyBorder="1" applyAlignment="1" applyProtection="1">
      <alignment horizontal="center"/>
      <protection locked="0"/>
    </xf>
    <xf numFmtId="2" fontId="17" fillId="33" borderId="23" xfId="49" applyNumberFormat="1" applyFont="1" applyFill="1" applyBorder="1" applyAlignment="1" applyProtection="1">
      <alignment horizontal="center"/>
      <protection locked="0"/>
    </xf>
    <xf numFmtId="2" fontId="17" fillId="33" borderId="27" xfId="49" applyNumberFormat="1" applyFont="1" applyFill="1" applyBorder="1" applyAlignment="1" applyProtection="1">
      <alignment horizontal="center"/>
      <protection locked="0"/>
    </xf>
    <xf numFmtId="2" fontId="17" fillId="33" borderId="25" xfId="49" applyNumberFormat="1" applyFont="1" applyFill="1" applyBorder="1" applyAlignment="1" applyProtection="1">
      <alignment horizontal="center"/>
      <protection locked="0"/>
    </xf>
    <xf numFmtId="169" fontId="17" fillId="35" borderId="0" xfId="49" applyNumberFormat="1" applyFont="1" applyFill="1" applyBorder="1" applyAlignment="1" applyProtection="1">
      <alignment horizontal="center"/>
      <protection locked="0"/>
    </xf>
    <xf numFmtId="169" fontId="17" fillId="35" borderId="28" xfId="49" applyNumberFormat="1" applyFont="1" applyFill="1" applyBorder="1" applyAlignment="1" applyProtection="1">
      <alignment horizontal="center"/>
      <protection locked="0"/>
    </xf>
    <xf numFmtId="169" fontId="17" fillId="35" borderId="19" xfId="49" applyNumberFormat="1" applyFont="1" applyFill="1" applyBorder="1" applyAlignment="1" applyProtection="1">
      <alignment horizontal="center"/>
      <protection locked="0"/>
    </xf>
    <xf numFmtId="169" fontId="17" fillId="35" borderId="26" xfId="49" applyNumberFormat="1" applyFont="1" applyFill="1" applyBorder="1" applyAlignment="1" applyProtection="1">
      <alignment horizontal="center"/>
      <protection locked="0"/>
    </xf>
    <xf numFmtId="0" fontId="22" fillId="33" borderId="0" xfId="49" applyFont="1" applyFill="1" applyBorder="1">
      <alignment/>
      <protection/>
    </xf>
    <xf numFmtId="0" fontId="11" fillId="36" borderId="0" xfId="49" applyFont="1" applyFill="1" applyBorder="1" applyAlignment="1">
      <alignment horizontal="center"/>
      <protection/>
    </xf>
    <xf numFmtId="0" fontId="12" fillId="33" borderId="0" xfId="49" applyFont="1" applyFill="1" applyBorder="1" applyAlignment="1" applyProtection="1">
      <alignment horizontal="right"/>
      <protection locked="0"/>
    </xf>
    <xf numFmtId="0" fontId="12" fillId="33" borderId="0" xfId="49" applyFont="1" applyFill="1" applyBorder="1" applyProtection="1">
      <alignment/>
      <protection locked="0"/>
    </xf>
    <xf numFmtId="0" fontId="4" fillId="34" borderId="23" xfId="50" applyFont="1" applyFill="1" applyBorder="1" applyAlignment="1" applyProtection="1">
      <alignment horizontal="centerContinuous"/>
      <protection locked="0"/>
    </xf>
    <xf numFmtId="0" fontId="5" fillId="34" borderId="24" xfId="50" applyFont="1" applyFill="1" applyBorder="1" applyAlignment="1" applyProtection="1">
      <alignment horizontal="centerContinuous"/>
      <protection locked="0"/>
    </xf>
    <xf numFmtId="172" fontId="8" fillId="35" borderId="24" xfId="50" applyNumberFormat="1" applyFont="1" applyFill="1" applyBorder="1" applyAlignment="1" applyProtection="1">
      <alignment horizontal="center"/>
      <protection locked="0"/>
    </xf>
    <xf numFmtId="172" fontId="8" fillId="35" borderId="28" xfId="50" applyNumberFormat="1" applyFont="1" applyFill="1" applyBorder="1" applyAlignment="1" applyProtection="1">
      <alignment horizontal="center"/>
      <protection locked="0"/>
    </xf>
    <xf numFmtId="172" fontId="8" fillId="35" borderId="26" xfId="50" applyNumberFormat="1" applyFont="1" applyFill="1" applyBorder="1" applyAlignment="1" applyProtection="1">
      <alignment horizontal="center"/>
      <protection locked="0"/>
    </xf>
    <xf numFmtId="0" fontId="7" fillId="36" borderId="0" xfId="50" applyFont="1" applyFill="1">
      <alignment/>
      <protection/>
    </xf>
    <xf numFmtId="0" fontId="6" fillId="36" borderId="0" xfId="50" applyFont="1" applyFill="1">
      <alignment/>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HF3_BetaWorkshop" xfId="49"/>
    <cellStyle name="Normal_HF3_RISK"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'Cesitlendirme Etkisi'!#REF!</c:f>
              <c:strCache>
                <c:ptCount val="6"/>
                <c:pt idx="0">
                  <c:v>0</c:v>
                </c:pt>
                <c:pt idx="1">
                  <c:v>0.01384</c:v>
                </c:pt>
                <c:pt idx="2">
                  <c:v>0.04152</c:v>
                </c:pt>
                <c:pt idx="3">
                  <c:v>0.0692</c:v>
                </c:pt>
                <c:pt idx="4">
                  <c:v>0.097297</c:v>
                </c:pt>
                <c:pt idx="5">
                  <c:v>0.12456</c:v>
                </c:pt>
              </c:strCache>
            </c:strRef>
          </c:xVal>
          <c:yVal>
            <c:numRef>
              <c:f>'Cesitlendirme Etkisi'!#REF!</c:f>
              <c:numCache>
                <c:ptCount val="6"/>
                <c:pt idx="0">
                  <c:v>0.005</c:v>
                </c:pt>
                <c:pt idx="1">
                  <c:v>0.01</c:v>
                </c:pt>
                <c:pt idx="2">
                  <c:v>0.02</c:v>
                </c:pt>
                <c:pt idx="3">
                  <c:v>0.03</c:v>
                </c:pt>
                <c:pt idx="4">
                  <c:v>0.04</c:v>
                </c:pt>
                <c:pt idx="5">
                  <c:v>0.05</c:v>
                </c:pt>
              </c:numCache>
            </c:numRef>
          </c:yVal>
          <c:smooth val="1"/>
        </c:ser>
        <c:axId val="25694676"/>
        <c:axId val="2717285"/>
      </c:scatterChart>
      <c:valAx>
        <c:axId val="25694676"/>
        <c:scaling>
          <c:orientation val="minMax"/>
        </c:scaling>
        <c:axPos val="b"/>
        <c:delete val="0"/>
        <c:numFmt formatCode="General" sourceLinked="1"/>
        <c:majorTickMark val="out"/>
        <c:minorTickMark val="none"/>
        <c:tickLblPos val="nextTo"/>
        <c:spPr>
          <a:ln w="3175">
            <a:solidFill>
              <a:srgbClr val="000000"/>
            </a:solidFill>
          </a:ln>
        </c:spPr>
        <c:crossAx val="2717285"/>
        <c:crosses val="autoZero"/>
        <c:crossBetween val="midCat"/>
        <c:dispUnits/>
      </c:valAx>
      <c:valAx>
        <c:axId val="27172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69467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275"/>
          <c:w val="0.9385"/>
          <c:h val="0.8787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'Cesitlendirme Etkisi'!$E$13:$E$23</c:f>
              <c:numCache/>
            </c:numRef>
          </c:xVal>
          <c:yVal>
            <c:numRef>
              <c:f>'Cesitlendirme Etkisi'!$F$13:$F$23</c:f>
              <c:numCache/>
            </c:numRef>
          </c:yVal>
          <c:smooth val="1"/>
        </c:ser>
        <c:axId val="57062986"/>
        <c:axId val="57472019"/>
      </c:scatterChart>
      <c:valAx>
        <c:axId val="57062986"/>
        <c:scaling>
          <c:orientation val="minMax"/>
          <c:max val="0.22"/>
          <c:min val="0"/>
        </c:scaling>
        <c:axPos val="b"/>
        <c:title>
          <c:tx>
            <c:rich>
              <a:bodyPr vert="horz" rot="0" anchor="ctr"/>
              <a:lstStyle/>
              <a:p>
                <a:pPr algn="ctr">
                  <a:defRPr/>
                </a:pPr>
                <a:r>
                  <a:rPr lang="en-US" cap="none" sz="1200" b="1" i="0" u="none" baseline="0">
                    <a:solidFill>
                      <a:srgbClr val="000000"/>
                    </a:solidFill>
                    <a:latin typeface="Arial"/>
                    <a:ea typeface="Arial"/>
                    <a:cs typeface="Arial"/>
                  </a:rPr>
                  <a:t>Portföy Varyansı</a:t>
                </a:r>
              </a:p>
            </c:rich>
          </c:tx>
          <c:layout>
            <c:manualLayout>
              <c:xMode val="factor"/>
              <c:yMode val="factor"/>
              <c:x val="0.00675"/>
              <c:y val="0.00025"/>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7472019"/>
        <c:crossesAt val="0.1"/>
        <c:crossBetween val="midCat"/>
        <c:dispUnits/>
      </c:valAx>
      <c:valAx>
        <c:axId val="57472019"/>
        <c:scaling>
          <c:orientation val="minMax"/>
          <c:max val="1"/>
          <c:min val="-1"/>
        </c:scaling>
        <c:axPos val="l"/>
        <c:title>
          <c:tx>
            <c:rich>
              <a:bodyPr vert="horz" rot="-5400000" anchor="ctr"/>
              <a:lstStyle/>
              <a:p>
                <a:pPr algn="ctr">
                  <a:defRPr/>
                </a:pPr>
                <a:r>
                  <a:rPr lang="en-US" cap="none" sz="1200" b="1" i="0" u="none" baseline="0">
                    <a:solidFill>
                      <a:srgbClr val="000000"/>
                    </a:solidFill>
                    <a:latin typeface="Arial"/>
                    <a:ea typeface="Arial"/>
                    <a:cs typeface="Arial"/>
                  </a:rPr>
                  <a:t>Portföy Ortalaması%</a:t>
                </a:r>
              </a:p>
            </c:rich>
          </c:tx>
          <c:layout>
            <c:manualLayout>
              <c:xMode val="factor"/>
              <c:yMode val="factor"/>
              <c:x val="-0.00925"/>
              <c:y val="-0.00375"/>
            </c:manualLayout>
          </c:layout>
          <c:overlay val="0"/>
          <c:spPr>
            <a:noFill/>
            <a:ln>
              <a:noFill/>
            </a:ln>
          </c:spPr>
        </c:title>
        <c:majorGridlines>
          <c:spPr>
            <a:ln w="3175">
              <a:solidFill>
                <a:srgbClr val="000000"/>
              </a:solidFill>
              <a:prstDash val="sysDot"/>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7062986"/>
        <c:crossesAt val="0"/>
        <c:crossBetween val="midCat"/>
        <c:dispUnits/>
        <c:majorUnit val="0.2"/>
      </c:valAx>
      <c:spPr>
        <a:solidFill>
          <a:srgbClr val="FFFFFF"/>
        </a:solidFill>
        <a:ln w="12700">
          <a:solidFill>
            <a:srgbClr val="000000"/>
          </a:solidFill>
        </a:ln>
      </c:spPr>
    </c:plotArea>
    <c:plotVisOnly val="1"/>
    <c:dispBlanksAs val="gap"/>
    <c:showDLblsOverMax val="0"/>
  </c:chart>
  <c:spPr>
    <a:solidFill>
      <a:srgbClr val="FFCC00"/>
    </a:solid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Hangi Varlık Daha Riskli?</a:t>
            </a:r>
          </a:p>
        </c:rich>
      </c:tx>
      <c:layout>
        <c:manualLayout>
          <c:xMode val="factor"/>
          <c:yMode val="factor"/>
          <c:x val="-0.0215"/>
          <c:y val="-0.003"/>
        </c:manualLayout>
      </c:layout>
      <c:spPr>
        <a:noFill/>
        <a:ln>
          <a:noFill/>
        </a:ln>
      </c:spPr>
    </c:title>
    <c:plotArea>
      <c:layout>
        <c:manualLayout>
          <c:xMode val="edge"/>
          <c:yMode val="edge"/>
          <c:x val="0.015"/>
          <c:y val="0.1015"/>
          <c:w val="0.97"/>
          <c:h val="0.81925"/>
        </c:manualLayout>
      </c:layout>
      <c:barChart>
        <c:barDir val="col"/>
        <c:grouping val="clustered"/>
        <c:varyColors val="0"/>
        <c:ser>
          <c:idx val="0"/>
          <c:order val="0"/>
          <c:tx>
            <c:v>A Varlık</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'Risk Algılama'!$B$2:$B$9</c:f>
              <c:numCache/>
            </c:numRef>
          </c:val>
        </c:ser>
        <c:ser>
          <c:idx val="1"/>
          <c:order val="1"/>
          <c:tx>
            <c:v>B Varlık</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'Risk Algılama'!$I$2:$I$9</c:f>
              <c:numCache/>
            </c:numRef>
          </c:val>
        </c:ser>
        <c:axId val="66061712"/>
        <c:axId val="45118673"/>
      </c:barChart>
      <c:catAx>
        <c:axId val="66061712"/>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45118673"/>
        <c:crosses val="autoZero"/>
        <c:auto val="1"/>
        <c:lblOffset val="100"/>
        <c:tickLblSkip val="8"/>
        <c:noMultiLvlLbl val="0"/>
      </c:catAx>
      <c:valAx>
        <c:axId val="45118673"/>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6061712"/>
        <c:crossesAt val="1"/>
        <c:crossBetween val="between"/>
        <c:dispUnits/>
      </c:valAx>
      <c:spPr>
        <a:solidFill>
          <a:srgbClr val="FFFFFF"/>
        </a:solidFill>
        <a:ln w="12700">
          <a:solidFill>
            <a:srgbClr val="808080"/>
          </a:solidFill>
        </a:ln>
      </c:spPr>
    </c:plotArea>
    <c:legend>
      <c:legendPos val="r"/>
      <c:layout>
        <c:manualLayout>
          <c:xMode val="edge"/>
          <c:yMode val="edge"/>
          <c:x val="0.341"/>
          <c:y val="0.8425"/>
          <c:w val="0.2885"/>
          <c:h val="0.067"/>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CC0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3.emf" /><Relationship Id="rId3"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9.emf" /><Relationship Id="rId7" Type="http://schemas.openxmlformats.org/officeDocument/2006/relationships/image" Target="../media/image11.emf" /><Relationship Id="rId8"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114300</xdr:rowOff>
    </xdr:from>
    <xdr:to>
      <xdr:col>10</xdr:col>
      <xdr:colOff>57150</xdr:colOff>
      <xdr:row>33</xdr:row>
      <xdr:rowOff>104775</xdr:rowOff>
    </xdr:to>
    <xdr:sp>
      <xdr:nvSpPr>
        <xdr:cNvPr id="1" name="Text Box 1"/>
        <xdr:cNvSpPr txBox="1">
          <a:spLocks noChangeArrowheads="1"/>
        </xdr:cNvSpPr>
      </xdr:nvSpPr>
      <xdr:spPr>
        <a:xfrm>
          <a:off x="304800" y="276225"/>
          <a:ext cx="5848350" cy="5172075"/>
        </a:xfrm>
        <a:prstGeom prst="rect">
          <a:avLst/>
        </a:prstGeom>
        <a:solidFill>
          <a:srgbClr val="FFCC00"/>
        </a:solidFill>
        <a:ln w="34925" cmpd="sng">
          <a:solidFill>
            <a:srgbClr val="000000"/>
          </a:solidFill>
          <a:headEnd type="none"/>
          <a:tailEnd type="none"/>
        </a:ln>
      </xdr:spPr>
      <xdr:txBody>
        <a:bodyPr vertOverflow="clip" wrap="square" lIns="36576" tIns="32004" rIns="36576" bIns="0"/>
        <a:p>
          <a:pPr algn="just">
            <a:defRPr/>
          </a:pPr>
          <a:r>
            <a:rPr lang="en-US" cap="none" sz="1400" b="1" i="0" u="none" baseline="0">
              <a:solidFill>
                <a:srgbClr val="000000"/>
              </a:solidFill>
              <a:latin typeface="Times New Roman"/>
              <a:ea typeface="Times New Roman"/>
              <a:cs typeface="Times New Roman"/>
            </a:rPr>
            <a:t>Beni Oku</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Finans terminolojisinde yatırımcıların karar alma teorileri özünde risk alan ve riskten kaçan yatırımcı üzerine kurularak geliştirilmiştir. Genel olarak yatırımcıların büyük bir çoğunluğunun riskten kaçınan yatırımcı tipine girmeleri sebebi ile finansal çalışmaların büyük bir kısmı da riskten kaçınan grup üzerinde yoğunlaşmaktadır.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Finansal varlıklarda belirli bir periyoda bağlı olarak sürekli bileşik faiz hesaplamaları bilindiği gibi temel finans konuları içerisinde yer almaktadır.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Diğer taraftan dönemsel varlık getiri değişimleri logaritmik bazda yapılarak risk ölçümlerine girilmektedir.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Varlık getiri dağılımları normal dağılım özelliği sergilemekte ise, belirli bir risk-getiri illişkisi altında zamana bağlı zarar olasılığı kolaylıkla hesaplanabilmektedir.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Portföy etkisi içerisindeki çeşitlendirme etkisi finansal varlıklar arasındaki korelasyon düzeyine bağlı olarak farklılık gösterecektir.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Etkin set hipotezi varsayımına dayanarak çeşitli hisse senetlerinin  ferdi getiri-risk düzeylerine bağlı olarak hedeflenen getiri düzeylerine bağlı kalınarak portföy ağırlıkları oluşturulabilmektedir.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Risk-Getiri Algılama dosyası içerisinde de detaylı biçimde gösterildiği üzere aynı standart sapma ve aynı güven aralıklarında eşit RMD’lere sahip iki varlık arasında B Varlığı A’ya kıyasla daha riskli bir enstrüman olarak karşımıza çıkmaktadır.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923925</xdr:colOff>
      <xdr:row>9</xdr:row>
      <xdr:rowOff>161925</xdr:rowOff>
    </xdr:from>
    <xdr:to>
      <xdr:col>7</xdr:col>
      <xdr:colOff>438150</xdr:colOff>
      <xdr:row>11</xdr:row>
      <xdr:rowOff>104775</xdr:rowOff>
    </xdr:to>
    <xdr:sp>
      <xdr:nvSpPr>
        <xdr:cNvPr id="1" name="Line 5"/>
        <xdr:cNvSpPr>
          <a:spLocks/>
        </xdr:cNvSpPr>
      </xdr:nvSpPr>
      <xdr:spPr>
        <a:xfrm flipV="1">
          <a:off x="5400675" y="2266950"/>
          <a:ext cx="485775" cy="30480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828675</xdr:colOff>
      <xdr:row>3</xdr:row>
      <xdr:rowOff>38100</xdr:rowOff>
    </xdr:from>
    <xdr:to>
      <xdr:col>6</xdr:col>
      <xdr:colOff>971550</xdr:colOff>
      <xdr:row>6</xdr:row>
      <xdr:rowOff>152400</xdr:rowOff>
    </xdr:to>
    <xdr:sp>
      <xdr:nvSpPr>
        <xdr:cNvPr id="2" name="Line 6"/>
        <xdr:cNvSpPr>
          <a:spLocks/>
        </xdr:cNvSpPr>
      </xdr:nvSpPr>
      <xdr:spPr>
        <a:xfrm>
          <a:off x="5305425" y="571500"/>
          <a:ext cx="142875" cy="108585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5</xdr:row>
      <xdr:rowOff>47625</xdr:rowOff>
    </xdr:from>
    <xdr:to>
      <xdr:col>10</xdr:col>
      <xdr:colOff>76200</xdr:colOff>
      <xdr:row>6</xdr:row>
      <xdr:rowOff>171450</xdr:rowOff>
    </xdr:to>
    <xdr:sp>
      <xdr:nvSpPr>
        <xdr:cNvPr id="3" name="Line 8"/>
        <xdr:cNvSpPr>
          <a:spLocks/>
        </xdr:cNvSpPr>
      </xdr:nvSpPr>
      <xdr:spPr>
        <a:xfrm flipH="1">
          <a:off x="7334250" y="1352550"/>
          <a:ext cx="600075" cy="32385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9</xdr:row>
      <xdr:rowOff>104775</xdr:rowOff>
    </xdr:from>
    <xdr:to>
      <xdr:col>9</xdr:col>
      <xdr:colOff>561975</xdr:colOff>
      <xdr:row>9</xdr:row>
      <xdr:rowOff>104775</xdr:rowOff>
    </xdr:to>
    <xdr:sp>
      <xdr:nvSpPr>
        <xdr:cNvPr id="4" name="Line 10"/>
        <xdr:cNvSpPr>
          <a:spLocks/>
        </xdr:cNvSpPr>
      </xdr:nvSpPr>
      <xdr:spPr>
        <a:xfrm flipH="1">
          <a:off x="7296150" y="2209800"/>
          <a:ext cx="514350" cy="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9</xdr:row>
      <xdr:rowOff>28575</xdr:rowOff>
    </xdr:from>
    <xdr:to>
      <xdr:col>3</xdr:col>
      <xdr:colOff>180975</xdr:colOff>
      <xdr:row>10</xdr:row>
      <xdr:rowOff>66675</xdr:rowOff>
    </xdr:to>
    <xdr:sp>
      <xdr:nvSpPr>
        <xdr:cNvPr id="1" name="Line 2"/>
        <xdr:cNvSpPr>
          <a:spLocks/>
        </xdr:cNvSpPr>
      </xdr:nvSpPr>
      <xdr:spPr>
        <a:xfrm flipV="1">
          <a:off x="2047875" y="1885950"/>
          <a:ext cx="552450" cy="200025"/>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9</xdr:row>
      <xdr:rowOff>57150</xdr:rowOff>
    </xdr:from>
    <xdr:to>
      <xdr:col>4</xdr:col>
      <xdr:colOff>352425</xdr:colOff>
      <xdr:row>10</xdr:row>
      <xdr:rowOff>142875</xdr:rowOff>
    </xdr:to>
    <xdr:sp>
      <xdr:nvSpPr>
        <xdr:cNvPr id="2" name="Line 4"/>
        <xdr:cNvSpPr>
          <a:spLocks/>
        </xdr:cNvSpPr>
      </xdr:nvSpPr>
      <xdr:spPr>
        <a:xfrm flipV="1">
          <a:off x="3400425" y="1914525"/>
          <a:ext cx="285750" cy="24765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9</xdr:row>
      <xdr:rowOff>38100</xdr:rowOff>
    </xdr:from>
    <xdr:to>
      <xdr:col>5</xdr:col>
      <xdr:colOff>514350</xdr:colOff>
      <xdr:row>10</xdr:row>
      <xdr:rowOff>161925</xdr:rowOff>
    </xdr:to>
    <xdr:sp>
      <xdr:nvSpPr>
        <xdr:cNvPr id="3" name="Line 6"/>
        <xdr:cNvSpPr>
          <a:spLocks/>
        </xdr:cNvSpPr>
      </xdr:nvSpPr>
      <xdr:spPr>
        <a:xfrm flipV="1">
          <a:off x="4600575" y="1895475"/>
          <a:ext cx="0" cy="28575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21</xdr:row>
      <xdr:rowOff>38100</xdr:rowOff>
    </xdr:from>
    <xdr:to>
      <xdr:col>4</xdr:col>
      <xdr:colOff>247650</xdr:colOff>
      <xdr:row>22</xdr:row>
      <xdr:rowOff>114300</xdr:rowOff>
    </xdr:to>
    <xdr:sp>
      <xdr:nvSpPr>
        <xdr:cNvPr id="4" name="Line 8"/>
        <xdr:cNvSpPr>
          <a:spLocks/>
        </xdr:cNvSpPr>
      </xdr:nvSpPr>
      <xdr:spPr>
        <a:xfrm flipV="1">
          <a:off x="3371850" y="4210050"/>
          <a:ext cx="209550" cy="238125"/>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21</xdr:row>
      <xdr:rowOff>38100</xdr:rowOff>
    </xdr:from>
    <xdr:to>
      <xdr:col>5</xdr:col>
      <xdr:colOff>323850</xdr:colOff>
      <xdr:row>22</xdr:row>
      <xdr:rowOff>161925</xdr:rowOff>
    </xdr:to>
    <xdr:sp>
      <xdr:nvSpPr>
        <xdr:cNvPr id="5" name="Line 11"/>
        <xdr:cNvSpPr>
          <a:spLocks/>
        </xdr:cNvSpPr>
      </xdr:nvSpPr>
      <xdr:spPr>
        <a:xfrm flipV="1">
          <a:off x="4286250" y="4210050"/>
          <a:ext cx="123825" cy="28575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21</xdr:row>
      <xdr:rowOff>76200</xdr:rowOff>
    </xdr:from>
    <xdr:to>
      <xdr:col>6</xdr:col>
      <xdr:colOff>514350</xdr:colOff>
      <xdr:row>24</xdr:row>
      <xdr:rowOff>152400</xdr:rowOff>
    </xdr:to>
    <xdr:sp>
      <xdr:nvSpPr>
        <xdr:cNvPr id="6" name="Line 17"/>
        <xdr:cNvSpPr>
          <a:spLocks/>
        </xdr:cNvSpPr>
      </xdr:nvSpPr>
      <xdr:spPr>
        <a:xfrm flipV="1">
          <a:off x="5353050" y="4248150"/>
          <a:ext cx="57150" cy="561975"/>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21</xdr:row>
      <xdr:rowOff>57150</xdr:rowOff>
    </xdr:from>
    <xdr:to>
      <xdr:col>7</xdr:col>
      <xdr:colOff>571500</xdr:colOff>
      <xdr:row>23</xdr:row>
      <xdr:rowOff>28575</xdr:rowOff>
    </xdr:to>
    <xdr:sp>
      <xdr:nvSpPr>
        <xdr:cNvPr id="7" name="Line 18"/>
        <xdr:cNvSpPr>
          <a:spLocks/>
        </xdr:cNvSpPr>
      </xdr:nvSpPr>
      <xdr:spPr>
        <a:xfrm flipV="1">
          <a:off x="6315075" y="4229100"/>
          <a:ext cx="38100" cy="295275"/>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800100</xdr:colOff>
      <xdr:row>21</xdr:row>
      <xdr:rowOff>66675</xdr:rowOff>
    </xdr:from>
    <xdr:to>
      <xdr:col>8</xdr:col>
      <xdr:colOff>838200</xdr:colOff>
      <xdr:row>22</xdr:row>
      <xdr:rowOff>133350</xdr:rowOff>
    </xdr:to>
    <xdr:sp>
      <xdr:nvSpPr>
        <xdr:cNvPr id="8" name="Line 20"/>
        <xdr:cNvSpPr>
          <a:spLocks/>
        </xdr:cNvSpPr>
      </xdr:nvSpPr>
      <xdr:spPr>
        <a:xfrm flipV="1">
          <a:off x="7553325" y="4238625"/>
          <a:ext cx="38100" cy="22860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0</xdr:row>
      <xdr:rowOff>0</xdr:rowOff>
    </xdr:from>
    <xdr:to>
      <xdr:col>12</xdr:col>
      <xdr:colOff>123825</xdr:colOff>
      <xdr:row>0</xdr:row>
      <xdr:rowOff>0</xdr:rowOff>
    </xdr:to>
    <xdr:graphicFrame>
      <xdr:nvGraphicFramePr>
        <xdr:cNvPr id="1" name="Grafik 1"/>
        <xdr:cNvGraphicFramePr/>
      </xdr:nvGraphicFramePr>
      <xdr:xfrm>
        <a:off x="6067425" y="0"/>
        <a:ext cx="5334000" cy="0"/>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3</xdr:row>
      <xdr:rowOff>38100</xdr:rowOff>
    </xdr:from>
    <xdr:to>
      <xdr:col>18</xdr:col>
      <xdr:colOff>123825</xdr:colOff>
      <xdr:row>28</xdr:row>
      <xdr:rowOff>114300</xdr:rowOff>
    </xdr:to>
    <xdr:graphicFrame>
      <xdr:nvGraphicFramePr>
        <xdr:cNvPr id="2" name="Grafik 2"/>
        <xdr:cNvGraphicFramePr/>
      </xdr:nvGraphicFramePr>
      <xdr:xfrm>
        <a:off x="7572375" y="552450"/>
        <a:ext cx="7486650" cy="4124325"/>
      </xdr:xfrm>
      <a:graphic>
        <a:graphicData uri="http://schemas.openxmlformats.org/drawingml/2006/chart">
          <c:chart xmlns:c="http://schemas.openxmlformats.org/drawingml/2006/chart" r:id="rId2"/>
        </a:graphicData>
      </a:graphic>
    </xdr:graphicFrame>
    <xdr:clientData/>
  </xdr:twoCellAnchor>
  <xdr:twoCellAnchor>
    <xdr:from>
      <xdr:col>1</xdr:col>
      <xdr:colOff>114300</xdr:colOff>
      <xdr:row>23</xdr:row>
      <xdr:rowOff>142875</xdr:rowOff>
    </xdr:from>
    <xdr:to>
      <xdr:col>5</xdr:col>
      <xdr:colOff>1276350</xdr:colOff>
      <xdr:row>29</xdr:row>
      <xdr:rowOff>47625</xdr:rowOff>
    </xdr:to>
    <xdr:sp>
      <xdr:nvSpPr>
        <xdr:cNvPr id="3" name="Text Box 3"/>
        <xdr:cNvSpPr txBox="1">
          <a:spLocks noChangeArrowheads="1"/>
        </xdr:cNvSpPr>
      </xdr:nvSpPr>
      <xdr:spPr>
        <a:xfrm>
          <a:off x="723900" y="3895725"/>
          <a:ext cx="6143625" cy="876300"/>
        </a:xfrm>
        <a:prstGeom prst="rect">
          <a:avLst/>
        </a:prstGeom>
        <a:solidFill>
          <a:srgbClr val="FFCC00"/>
        </a:solidFill>
        <a:ln w="25400" cmpd="sng">
          <a:solidFill>
            <a:srgbClr val="000000"/>
          </a:solidFill>
          <a:headEnd type="none"/>
          <a:tailEnd type="none"/>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Eğer 2 hisse senedi arasında tam korelasyon söz konusu ise, çeşitlendirme etkisi faydalı olmayacaktır. Senetler arasındaki korelasyon 1'den küçüldükçe (minimum -1), çeşitlendirme etkisinin faydası da artacaktır. Şayet 2 senet arasında tam negatif korelasyon sözkonusu ise, risk taşımayan portföy yaratmış olmaktayız.</a:t>
          </a:r>
        </a:p>
      </xdr:txBody>
    </xdr:sp>
    <xdr:clientData/>
  </xdr:twoCellAnchor>
  <xdr:twoCellAnchor>
    <xdr:from>
      <xdr:col>1</xdr:col>
      <xdr:colOff>133350</xdr:colOff>
      <xdr:row>23</xdr:row>
      <xdr:rowOff>142875</xdr:rowOff>
    </xdr:from>
    <xdr:to>
      <xdr:col>5</xdr:col>
      <xdr:colOff>1295400</xdr:colOff>
      <xdr:row>30</xdr:row>
      <xdr:rowOff>0</xdr:rowOff>
    </xdr:to>
    <xdr:sp>
      <xdr:nvSpPr>
        <xdr:cNvPr id="4" name="Text Box 4"/>
        <xdr:cNvSpPr txBox="1">
          <a:spLocks noChangeArrowheads="1"/>
        </xdr:cNvSpPr>
      </xdr:nvSpPr>
      <xdr:spPr>
        <a:xfrm>
          <a:off x="742950" y="3895725"/>
          <a:ext cx="6143625" cy="990600"/>
        </a:xfrm>
        <a:prstGeom prst="rect">
          <a:avLst/>
        </a:prstGeom>
        <a:solidFill>
          <a:srgbClr val="FFCC00"/>
        </a:solidFill>
        <a:ln w="25400" cmpd="sng">
          <a:solidFill>
            <a:srgbClr val="000000"/>
          </a:solidFill>
          <a:headEnd type="none"/>
          <a:tailEnd type="none"/>
        </a:ln>
      </xdr:spPr>
      <xdr:txBody>
        <a:bodyPr vertOverflow="clip" wrap="square" lIns="36576" tIns="27432" rIns="36576" bIns="0"/>
        <a:p>
          <a:pPr algn="just">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Eğer 2 hisse senedi arasında tam korelasyon söz konusu ise, çeşitlendirme etkisi faydalı olmayacaktır. Senetler arasındaki korelasyon 1'den küçüldükçe (minimum -1), çeşitlendirme etkisinin faydası da artacaktır. Şayet 2 hisse arasında tam negatif korelasyon sözkonusu ise, risk taşımayan portföy yaratmış olmaktayız.</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0.08175</cdr:x>
      <cdr:y>0.781</cdr:y>
    </cdr:from>
    <cdr:to>
      <cdr:x>0.08175</cdr:x>
      <cdr:y>0.781</cdr:y>
    </cdr:to>
    <cdr:sp>
      <cdr:nvSpPr>
        <cdr:cNvPr id="1" name="Text Box 1"/>
        <cdr:cNvSpPr txBox="1">
          <a:spLocks noChangeArrowheads="1"/>
        </cdr:cNvSpPr>
      </cdr:nvSpPr>
      <cdr:spPr>
        <a:xfrm>
          <a:off x="400050" y="2038350"/>
          <a:ext cx="0" cy="0"/>
        </a:xfrm>
        <a:prstGeom prst="rect">
          <a:avLst/>
        </a:prstGeom>
        <a:solidFill>
          <a:srgbClr val="FFFFFF"/>
        </a:solidFill>
        <a:ln w="9525" cmpd="sng">
          <a:noFill/>
        </a:ln>
      </cdr:spPr>
      <cdr:txBody>
        <a:bodyPr vertOverflow="clip" wrap="square" lIns="27432" tIns="22860" rIns="0" bIns="0"/>
        <a:p>
          <a:pPr algn="l">
            <a:defRPr/>
          </a:pPr>
          <a:r>
            <a:rPr lang="en-US" cap="none" sz="825" b="0" i="0" u="none" baseline="0">
              <a:solidFill>
                <a:srgbClr val="000000"/>
              </a:solidFill>
              <a:latin typeface="Arial"/>
              <a:ea typeface="Arial"/>
              <a:cs typeface="Arial"/>
            </a:rPr>
            <a:t>-10               -7.5              -5             -2.5              0               2.5              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14</xdr:row>
      <xdr:rowOff>142875</xdr:rowOff>
    </xdr:from>
    <xdr:to>
      <xdr:col>13</xdr:col>
      <xdr:colOff>495300</xdr:colOff>
      <xdr:row>31</xdr:row>
      <xdr:rowOff>9525</xdr:rowOff>
    </xdr:to>
    <xdr:graphicFrame>
      <xdr:nvGraphicFramePr>
        <xdr:cNvPr id="1" name="Grafik 1"/>
        <xdr:cNvGraphicFramePr/>
      </xdr:nvGraphicFramePr>
      <xdr:xfrm>
        <a:off x="428625" y="2466975"/>
        <a:ext cx="4914900" cy="2619375"/>
      </xdr:xfrm>
      <a:graphic>
        <a:graphicData uri="http://schemas.openxmlformats.org/drawingml/2006/chart">
          <c:chart xmlns:c="http://schemas.openxmlformats.org/drawingml/2006/chart" r:id="rId1"/>
        </a:graphicData>
      </a:graphic>
    </xdr:graphicFrame>
    <xdr:clientData/>
  </xdr:twoCellAnchor>
  <xdr:oneCellAnchor>
    <xdr:from>
      <xdr:col>2</xdr:col>
      <xdr:colOff>9525</xdr:colOff>
      <xdr:row>5</xdr:row>
      <xdr:rowOff>114300</xdr:rowOff>
    </xdr:from>
    <xdr:ext cx="76200" cy="190500"/>
    <xdr:sp fLocksText="0">
      <xdr:nvSpPr>
        <xdr:cNvPr id="2" name="Text Box 2"/>
        <xdr:cNvSpPr txBox="1">
          <a:spLocks noChangeArrowheads="1"/>
        </xdr:cNvSpPr>
      </xdr:nvSpPr>
      <xdr:spPr>
        <a:xfrm>
          <a:off x="1228725" y="9810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0_KHU_ExMBA\Risk%20Y&#246;netimi\&#214;DEV\IntroPortfolioTheo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0_KHU_ExMBA\Risk%20Y&#246;netimi\&#214;DEV\mean-variance_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0_KHU_ExMBA\Risk%20Y&#246;netimi\&#214;DEV\Toplu_EfficientFronti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20Documents\Workshops\VaR\CovarianceV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Chart2"/>
      <sheetName val="optimize"/>
      <sheetName val="Matrix"/>
      <sheetName val="Chart3"/>
      <sheetName val="VaR"/>
      <sheetName val="Chart4"/>
      <sheetName val="bullet"/>
      <sheetName val="Chart5"/>
      <sheetName val="Portfolio"/>
    </sheetNames>
    <sheetDataSet>
      <sheetData sheetId="9">
        <row r="2">
          <cell r="B2">
            <v>0.175</v>
          </cell>
          <cell r="C2">
            <v>0.055</v>
          </cell>
          <cell r="D2">
            <v>0.03</v>
          </cell>
        </row>
        <row r="3">
          <cell r="B3">
            <v>0.067</v>
          </cell>
          <cell r="C3">
            <v>0.013</v>
          </cell>
        </row>
        <row r="4">
          <cell r="B4">
            <v>0.2588435821108957</v>
          </cell>
          <cell r="C4">
            <v>0.11401754250991379</v>
          </cell>
        </row>
        <row r="36">
          <cell r="O36">
            <v>0.10988104807839144</v>
          </cell>
        </row>
        <row r="37">
          <cell r="O37">
            <v>0.015424971473714476</v>
          </cell>
        </row>
        <row r="38">
          <cell r="O38">
            <v>0.12419730864118786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uenberger_EG6.11"/>
      <sheetName val="Luen. EG6.11_constraints"/>
      <sheetName val="Luen._EG6.13_riskfree_asset"/>
    </sheetNames>
    <sheetDataSet>
      <sheetData sheetId="0">
        <row r="6">
          <cell r="B6">
            <v>0.151</v>
          </cell>
          <cell r="G6">
            <v>0.023</v>
          </cell>
          <cell r="H6">
            <v>0.0093</v>
          </cell>
          <cell r="I6">
            <v>0.0062</v>
          </cell>
          <cell r="J6">
            <v>0.0074</v>
          </cell>
          <cell r="K6">
            <v>-0.0023</v>
          </cell>
        </row>
        <row r="7">
          <cell r="B7">
            <v>0.125</v>
          </cell>
          <cell r="G7">
            <v>0.0093</v>
          </cell>
          <cell r="H7">
            <v>0.014</v>
          </cell>
          <cell r="I7">
            <v>0.0022</v>
          </cell>
          <cell r="J7">
            <v>0.0056</v>
          </cell>
          <cell r="K7">
            <v>0.0026</v>
          </cell>
        </row>
        <row r="8">
          <cell r="B8">
            <v>0.147</v>
          </cell>
          <cell r="G8">
            <v>0.0062</v>
          </cell>
          <cell r="H8">
            <v>0.0022</v>
          </cell>
          <cell r="I8">
            <v>0.018</v>
          </cell>
          <cell r="J8">
            <v>0.0078</v>
          </cell>
          <cell r="K8">
            <v>-0.0027</v>
          </cell>
        </row>
        <row r="9">
          <cell r="B9">
            <v>0.0902</v>
          </cell>
          <cell r="G9">
            <v>0.0074</v>
          </cell>
          <cell r="H9">
            <v>0.0056</v>
          </cell>
          <cell r="I9">
            <v>0.0078</v>
          </cell>
          <cell r="J9">
            <v>0.034</v>
          </cell>
          <cell r="K9">
            <v>-0.0056</v>
          </cell>
        </row>
        <row r="10">
          <cell r="B10">
            <v>0.1768</v>
          </cell>
          <cell r="G10">
            <v>-0.0023</v>
          </cell>
          <cell r="H10">
            <v>0.0026</v>
          </cell>
          <cell r="I10">
            <v>-0.0027</v>
          </cell>
          <cell r="J10">
            <v>-0.0056</v>
          </cell>
          <cell r="K10">
            <v>0.026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lected Dow Returns"/>
      <sheetName val="Correlation Matrix"/>
      <sheetName val="Portfolio"/>
      <sheetName val="Dow Stocks for Problem"/>
      <sheetName val="Sheet3"/>
      <sheetName val="Sheet2"/>
      <sheetName val="Sheet1"/>
      <sheetName val="Sheet4"/>
      <sheetName val="Sheet10"/>
      <sheetName val="Sheet9"/>
      <sheetName val="Sheet8"/>
      <sheetName val="Sheet7"/>
      <sheetName val="Sheet5"/>
      <sheetName val="Sheet6"/>
      <sheetName val="Sheet11"/>
      <sheetName val="Sheet12"/>
      <sheetName val="Sheet13"/>
      <sheetName val="Sheet14"/>
      <sheetName val="Sheet15"/>
      <sheetName val="Sheet16"/>
      <sheetName val="Sheet17"/>
    </sheetNames>
    <sheetDataSet>
      <sheetData sheetId="18">
        <row r="21">
          <cell r="G21">
            <v>0.2</v>
          </cell>
          <cell r="H21">
            <v>0.1</v>
          </cell>
          <cell r="I21">
            <v>0.1</v>
          </cell>
          <cell r="J21">
            <v>0.4</v>
          </cell>
          <cell r="K21">
            <v>0.19999999999999996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aR"/>
      <sheetName val="Data"/>
      <sheetName val="Volatilities"/>
      <sheetName val="Correlations"/>
    </sheetNames>
    <sheetDataSet>
      <sheetData sheetId="3">
        <row r="6">
          <cell r="B6" t="str">
            <v>Air_liquid</v>
          </cell>
          <cell r="C6" t="str">
            <v>Paribas</v>
          </cell>
          <cell r="D6" t="str">
            <v>Peugeot</v>
          </cell>
          <cell r="E6" t="str">
            <v>L'Oreal</v>
          </cell>
          <cell r="F6" t="str">
            <v>Soc_Gen</v>
          </cell>
          <cell r="G6" t="str">
            <v>Total</v>
          </cell>
          <cell r="H6" t="str">
            <v>Michelin</v>
          </cell>
          <cell r="I6" t="str">
            <v>Danone</v>
          </cell>
        </row>
        <row r="7">
          <cell r="B7">
            <v>1</v>
          </cell>
          <cell r="C7">
            <v>0.38943089724592456</v>
          </cell>
          <cell r="D7">
            <v>0.42041890393027986</v>
          </cell>
          <cell r="E7">
            <v>0.5097744882451493</v>
          </cell>
          <cell r="F7">
            <v>0.4227576628577641</v>
          </cell>
          <cell r="G7">
            <v>0.4452204116391347</v>
          </cell>
          <cell r="H7">
            <v>0.3518570186561651</v>
          </cell>
          <cell r="I7">
            <v>0.4167576175743572</v>
          </cell>
        </row>
        <row r="8">
          <cell r="B8">
            <v>0.38943089724592456</v>
          </cell>
          <cell r="C8">
            <v>1</v>
          </cell>
          <cell r="D8">
            <v>0.406282684954902</v>
          </cell>
          <cell r="E8">
            <v>0.47217410096353607</v>
          </cell>
          <cell r="F8">
            <v>0.6150863031772118</v>
          </cell>
          <cell r="G8">
            <v>0.37416021719827686</v>
          </cell>
          <cell r="H8">
            <v>0.3542636624777973</v>
          </cell>
          <cell r="I8">
            <v>0.3542636624777973</v>
          </cell>
        </row>
        <row r="9">
          <cell r="B9">
            <v>0.42041890393027986</v>
          </cell>
          <cell r="C9">
            <v>0.406282684954902</v>
          </cell>
          <cell r="D9">
            <v>1</v>
          </cell>
          <cell r="E9">
            <v>0.4285569145605985</v>
          </cell>
          <cell r="F9">
            <v>0.45461010684549896</v>
          </cell>
          <cell r="G9">
            <v>0.35295375476497454</v>
          </cell>
          <cell r="H9">
            <v>0.41361670931156097</v>
          </cell>
          <cell r="I9">
            <v>0.3622401024437459</v>
          </cell>
        </row>
        <row r="10">
          <cell r="B10">
            <v>0.5097744882451493</v>
          </cell>
          <cell r="C10">
            <v>0.47217410096353607</v>
          </cell>
          <cell r="D10">
            <v>0.4285569145605985</v>
          </cell>
          <cell r="E10">
            <v>1</v>
          </cell>
          <cell r="F10">
            <v>0.47443632207017566</v>
          </cell>
          <cell r="G10">
            <v>0.41922689447595557</v>
          </cell>
          <cell r="H10">
            <v>0.4350209942416099</v>
          </cell>
          <cell r="I10">
            <v>0.49144162013753967</v>
          </cell>
        </row>
        <row r="11">
          <cell r="B11">
            <v>0.4227576628577641</v>
          </cell>
          <cell r="C11">
            <v>0.6150863031772118</v>
          </cell>
          <cell r="D11">
            <v>0.45461010684549896</v>
          </cell>
          <cell r="E11">
            <v>0.47443632207017566</v>
          </cell>
          <cell r="F11">
            <v>1</v>
          </cell>
          <cell r="G11">
            <v>0.3437625526391379</v>
          </cell>
          <cell r="H11">
            <v>0.39499349561058256</v>
          </cell>
          <cell r="I11">
            <v>0.3908159738267365</v>
          </cell>
        </row>
        <row r="12">
          <cell r="B12">
            <v>0.4452204116391347</v>
          </cell>
          <cell r="C12">
            <v>0.37416021719827686</v>
          </cell>
          <cell r="D12">
            <v>0.35295375476497454</v>
          </cell>
          <cell r="E12">
            <v>0.41922689447595557</v>
          </cell>
          <cell r="F12">
            <v>0.3437625526391379</v>
          </cell>
          <cell r="G12">
            <v>1</v>
          </cell>
          <cell r="H12">
            <v>0.33490482691763857</v>
          </cell>
          <cell r="I12">
            <v>0.3963032810063056</v>
          </cell>
        </row>
        <row r="13">
          <cell r="B13">
            <v>0.3518570186561651</v>
          </cell>
          <cell r="C13">
            <v>0.3542636624777973</v>
          </cell>
          <cell r="D13">
            <v>0.41361670931156097</v>
          </cell>
          <cell r="E13">
            <v>0.4350209942416099</v>
          </cell>
          <cell r="F13">
            <v>0.39499349561058256</v>
          </cell>
          <cell r="G13">
            <v>0.33490482691763857</v>
          </cell>
          <cell r="H13">
            <v>1</v>
          </cell>
          <cell r="I13">
            <v>0.35593663694710725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vmlDrawing" Target="../drawings/vmlDrawing3.vml" /><Relationship Id="rId10" Type="http://schemas.openxmlformats.org/officeDocument/2006/relationships/drawing" Target="../drawings/drawing3.xml" /><Relationship Id="rId1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2">
      <selection activeCell="B1" sqref="B1"/>
    </sheetView>
  </sheetViews>
  <sheetFormatPr defaultColWidth="9.140625" defaultRowHeight="12.75"/>
  <cols>
    <col min="1" max="16384" width="9.140625" style="1" customWidth="1"/>
  </cols>
  <sheetData/>
  <sheetProtection password="DDD4" sheet="1" objects="1" scenarios="1"/>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B3:I10"/>
  <sheetViews>
    <sheetView zoomScale="130" zoomScaleNormal="130" zoomScalePageLayoutView="0" workbookViewId="0" topLeftCell="A1">
      <selection activeCell="E17" sqref="E17"/>
    </sheetView>
  </sheetViews>
  <sheetFormatPr defaultColWidth="9.140625" defaultRowHeight="12.75"/>
  <cols>
    <col min="1" max="1" width="4.140625" style="2" customWidth="1"/>
    <col min="2" max="2" width="13.421875" style="2" customWidth="1"/>
    <col min="3" max="3" width="16.140625" style="2" bestFit="1" customWidth="1"/>
    <col min="4" max="4" width="3.7109375" style="2" customWidth="1"/>
    <col min="5" max="5" width="19.7109375" style="2" customWidth="1"/>
    <col min="6" max="6" width="10.00390625" style="2" customWidth="1"/>
    <col min="7" max="8" width="14.57421875" style="2" customWidth="1"/>
    <col min="9" max="9" width="12.421875" style="2" customWidth="1"/>
    <col min="10" max="16384" width="9.140625" style="2" customWidth="1"/>
  </cols>
  <sheetData>
    <row r="1" ht="12.75"/>
    <row r="2" ht="12.75"/>
    <row r="3" spans="2:3" ht="16.5" thickBot="1">
      <c r="B3" s="27" t="s">
        <v>3</v>
      </c>
      <c r="C3" s="28"/>
    </row>
    <row r="4" ht="13.5" thickTop="1"/>
    <row r="5" spans="2:9" ht="47.25">
      <c r="B5" s="29" t="s">
        <v>25</v>
      </c>
      <c r="C5" s="29" t="s">
        <v>26</v>
      </c>
      <c r="E5" s="189" t="s">
        <v>4</v>
      </c>
      <c r="F5" s="32" t="s">
        <v>1</v>
      </c>
      <c r="G5" s="33" t="s">
        <v>10</v>
      </c>
      <c r="H5" s="33" t="s">
        <v>11</v>
      </c>
      <c r="I5" s="34" t="s">
        <v>84</v>
      </c>
    </row>
    <row r="6" spans="2:9" ht="15.75">
      <c r="B6" s="30">
        <v>1000</v>
      </c>
      <c r="C6" s="31">
        <v>0.1</v>
      </c>
      <c r="E6" s="190" t="s">
        <v>5</v>
      </c>
      <c r="F6" s="35">
        <v>1</v>
      </c>
      <c r="G6" s="192">
        <f>C6</f>
        <v>0.1</v>
      </c>
      <c r="H6" s="193">
        <f>B6*(1+C6)</f>
        <v>1100</v>
      </c>
      <c r="I6" s="196">
        <v>0.1</v>
      </c>
    </row>
    <row r="7" spans="5:9" ht="15.75">
      <c r="E7" s="190" t="s">
        <v>6</v>
      </c>
      <c r="F7" s="36">
        <v>4</v>
      </c>
      <c r="G7" s="52">
        <f>C$6/F7</f>
        <v>0.025</v>
      </c>
      <c r="H7" s="194">
        <f>B6*(1+G7)^4</f>
        <v>1103.8128906249997</v>
      </c>
      <c r="I7" s="53">
        <f>(1+G7)^F7-1</f>
        <v>0.10381289062499977</v>
      </c>
    </row>
    <row r="8" spans="5:9" ht="15.75">
      <c r="E8" s="190" t="s">
        <v>7</v>
      </c>
      <c r="F8" s="36">
        <v>52</v>
      </c>
      <c r="G8" s="52">
        <f>C$6/F8</f>
        <v>0.0019230769230769232</v>
      </c>
      <c r="H8" s="194">
        <f>$B$6*(1+G8)^F8</f>
        <v>1105.0647927797659</v>
      </c>
      <c r="I8" s="53">
        <f>(1+G8)^F8-1</f>
        <v>0.10506479277976588</v>
      </c>
    </row>
    <row r="9" spans="5:9" ht="15.75">
      <c r="E9" s="190" t="s">
        <v>8</v>
      </c>
      <c r="F9" s="36">
        <v>365</v>
      </c>
      <c r="G9" s="52">
        <f>C$6/F9</f>
        <v>0.00027397260273972606</v>
      </c>
      <c r="H9" s="194">
        <f>$B$6*(1+G9)^F9</f>
        <v>1105.1557816162272</v>
      </c>
      <c r="I9" s="53">
        <f>(1+G9)^F9-1</f>
        <v>0.10515578161622718</v>
      </c>
    </row>
    <row r="10" spans="5:9" ht="15.75">
      <c r="E10" s="191" t="s">
        <v>9</v>
      </c>
      <c r="F10" s="37" t="s">
        <v>27</v>
      </c>
      <c r="G10" s="60">
        <v>0</v>
      </c>
      <c r="H10" s="195">
        <f>B6*EXP(C6)</f>
        <v>1105.1709180756477</v>
      </c>
      <c r="I10" s="61">
        <f>EXP(C6)-1</f>
        <v>0.10517091807564771</v>
      </c>
    </row>
  </sheetData>
  <sheetProtection password="DDD4" sheet="1" objects="1" scenarios="1"/>
  <printOptions/>
  <pageMargins left="0.75" right="0.75" top="1" bottom="1" header="0.5" footer="0.5"/>
  <pageSetup horizontalDpi="600" verticalDpi="600" orientation="portrait" r:id="rId7"/>
  <drawing r:id="rId6"/>
  <legacyDrawing r:id="rId5"/>
  <oleObjects>
    <oleObject progId="Equation.DSMT4" shapeId="1707280" r:id="rId1"/>
    <oleObject progId="Equation.DSMT4" shapeId="1717766" r:id="rId2"/>
    <oleObject progId="Equation.DSMT4" shapeId="1729019" r:id="rId3"/>
    <oleObject progId="Equation.DSMT4" shapeId="1753206" r:id="rId4"/>
  </oleObjects>
</worksheet>
</file>

<file path=xl/worksheets/sheet3.xml><?xml version="1.0" encoding="utf-8"?>
<worksheet xmlns="http://schemas.openxmlformats.org/spreadsheetml/2006/main" xmlns:r="http://schemas.openxmlformats.org/officeDocument/2006/relationships">
  <dimension ref="B2:L34"/>
  <sheetViews>
    <sheetView showGridLines="0" zoomScalePageLayoutView="0" workbookViewId="0" topLeftCell="A1">
      <selection activeCell="D11" sqref="D11"/>
    </sheetView>
  </sheetViews>
  <sheetFormatPr defaultColWidth="9.140625" defaultRowHeight="12.75"/>
  <cols>
    <col min="1" max="1" width="9.140625" style="2" customWidth="1"/>
    <col min="2" max="2" width="9.00390625" style="2" bestFit="1" customWidth="1"/>
    <col min="3" max="3" width="15.57421875" style="2" customWidth="1"/>
    <col min="4" max="11" width="10.7109375" style="2" bestFit="1" customWidth="1"/>
    <col min="12" max="12" width="12.421875" style="2" bestFit="1" customWidth="1"/>
    <col min="13" max="16384" width="9.140625" style="2" customWidth="1"/>
  </cols>
  <sheetData>
    <row r="1" ht="13.5" thickBot="1"/>
    <row r="2" spans="2:4" ht="18" thickBot="1">
      <c r="B2" s="38" t="s">
        <v>50</v>
      </c>
      <c r="C2" s="39"/>
      <c r="D2" s="40"/>
    </row>
    <row r="4" spans="2:12" s="4" customFormat="1" ht="15">
      <c r="B4" s="41" t="s">
        <v>34</v>
      </c>
      <c r="C4" s="42" t="s">
        <v>36</v>
      </c>
      <c r="D4" s="43"/>
      <c r="E4" s="44" t="s">
        <v>4</v>
      </c>
      <c r="F4" s="44"/>
      <c r="G4" s="44"/>
      <c r="H4" s="44"/>
      <c r="I4" s="44"/>
      <c r="J4" s="44"/>
      <c r="K4" s="44"/>
      <c r="L4" s="45"/>
    </row>
    <row r="5" spans="2:12" s="4" customFormat="1" ht="15">
      <c r="B5" s="46" t="s">
        <v>35</v>
      </c>
      <c r="C5" s="47" t="s">
        <v>37</v>
      </c>
      <c r="D5" s="48">
        <v>1</v>
      </c>
      <c r="E5" s="47">
        <v>2</v>
      </c>
      <c r="F5" s="47">
        <v>3</v>
      </c>
      <c r="G5" s="47">
        <v>4</v>
      </c>
      <c r="H5" s="47">
        <v>10</v>
      </c>
      <c r="I5" s="47">
        <v>25</v>
      </c>
      <c r="J5" s="47">
        <v>100</v>
      </c>
      <c r="K5" s="47">
        <v>1000</v>
      </c>
      <c r="L5" s="49" t="s">
        <v>9</v>
      </c>
    </row>
    <row r="6" spans="2:12" ht="12.75">
      <c r="B6" s="50">
        <v>0.02</v>
      </c>
      <c r="C6" s="51">
        <f>1+B6</f>
        <v>1.02</v>
      </c>
      <c r="D6" s="52">
        <f>B6</f>
        <v>0.02</v>
      </c>
      <c r="E6" s="52">
        <f aca="true" t="shared" si="0" ref="E6:K24">(($C6)^(1/E$5)-1)*E$5</f>
        <v>0.01990098767241566</v>
      </c>
      <c r="F6" s="52">
        <f t="shared" si="0"/>
        <v>0.019868128680339048</v>
      </c>
      <c r="G6" s="52">
        <f t="shared" si="0"/>
        <v>0.019851726292815286</v>
      </c>
      <c r="H6" s="52">
        <f t="shared" si="0"/>
        <v>0.01982224744745187</v>
      </c>
      <c r="I6" s="52">
        <f t="shared" si="0"/>
        <v>0.01981047224834387</v>
      </c>
      <c r="J6" s="52">
        <f t="shared" si="0"/>
        <v>0.019804588145855284</v>
      </c>
      <c r="K6" s="52">
        <f t="shared" si="0"/>
        <v>0.019802823369552414</v>
      </c>
      <c r="L6" s="53">
        <f aca="true" t="shared" si="1" ref="L6:L13">LN(C6)</f>
        <v>0.01980262729617973</v>
      </c>
    </row>
    <row r="7" spans="2:12" ht="12.75">
      <c r="B7" s="50">
        <f>B6+1%</f>
        <v>0.03</v>
      </c>
      <c r="C7" s="51">
        <f aca="true" t="shared" si="2" ref="C7:C24">1+B7</f>
        <v>1.03</v>
      </c>
      <c r="D7" s="52">
        <f aca="true" t="shared" si="3" ref="D7:D24">B7</f>
        <v>0.03</v>
      </c>
      <c r="E7" s="52">
        <f t="shared" si="0"/>
        <v>0.029778313018443914</v>
      </c>
      <c r="F7" s="52">
        <f t="shared" si="0"/>
        <v>0.02970490214988275</v>
      </c>
      <c r="G7" s="52">
        <f t="shared" si="0"/>
        <v>0.0296682871109315</v>
      </c>
      <c r="H7" s="52">
        <f t="shared" si="0"/>
        <v>0.02960253145653402</v>
      </c>
      <c r="I7" s="52">
        <f t="shared" si="0"/>
        <v>0.02957628358636888</v>
      </c>
      <c r="J7" s="52">
        <f t="shared" si="0"/>
        <v>0.02956317128597341</v>
      </c>
      <c r="K7" s="52">
        <f t="shared" si="0"/>
        <v>0.02955923910730185</v>
      </c>
      <c r="L7" s="53">
        <f t="shared" si="1"/>
        <v>0.02955880224154443</v>
      </c>
    </row>
    <row r="8" spans="2:12" ht="12.75">
      <c r="B8" s="50">
        <f aca="true" t="shared" si="4" ref="B8:B24">B7+1%</f>
        <v>0.04</v>
      </c>
      <c r="C8" s="51">
        <f t="shared" si="2"/>
        <v>1.04</v>
      </c>
      <c r="D8" s="52">
        <f t="shared" si="3"/>
        <v>0.04</v>
      </c>
      <c r="E8" s="52">
        <f t="shared" si="0"/>
        <v>0.03960780543711406</v>
      </c>
      <c r="F8" s="52">
        <f t="shared" si="0"/>
        <v>0.039478211460531654</v>
      </c>
      <c r="G8" s="52">
        <f t="shared" si="0"/>
        <v>0.039413626195875295</v>
      </c>
      <c r="H8" s="52">
        <f t="shared" si="0"/>
        <v>0.03929772702200518</v>
      </c>
      <c r="I8" s="52">
        <f t="shared" si="0"/>
        <v>0.03925149453488652</v>
      </c>
      <c r="J8" s="52">
        <f t="shared" si="0"/>
        <v>0.03922840548060691</v>
      </c>
      <c r="K8" s="52">
        <f t="shared" si="0"/>
        <v>0.03922148229551503</v>
      </c>
      <c r="L8" s="53">
        <f t="shared" si="1"/>
        <v>0.03922071315328133</v>
      </c>
    </row>
    <row r="9" spans="2:12" ht="12.75">
      <c r="B9" s="50">
        <f t="shared" si="4"/>
        <v>0.05</v>
      </c>
      <c r="C9" s="51">
        <f t="shared" si="2"/>
        <v>1.05</v>
      </c>
      <c r="D9" s="52">
        <f t="shared" si="3"/>
        <v>0.05</v>
      </c>
      <c r="E9" s="52">
        <f t="shared" si="0"/>
        <v>0.04939015319191986</v>
      </c>
      <c r="F9" s="52">
        <f t="shared" si="0"/>
        <v>0.049189070444560556</v>
      </c>
      <c r="G9" s="52">
        <f t="shared" si="0"/>
        <v>0.04908893771615741</v>
      </c>
      <c r="H9" s="52">
        <f t="shared" si="0"/>
        <v>0.048909381985118294</v>
      </c>
      <c r="I9" s="52">
        <f t="shared" si="0"/>
        <v>0.04883780475867794</v>
      </c>
      <c r="J9" s="52">
        <f t="shared" si="0"/>
        <v>0.04880206850599311</v>
      </c>
      <c r="K9" s="52">
        <f t="shared" si="0"/>
        <v>0.04879135442892313</v>
      </c>
      <c r="L9" s="53">
        <f t="shared" si="1"/>
        <v>0.04879016416943205</v>
      </c>
    </row>
    <row r="10" spans="2:12" ht="12.75">
      <c r="B10" s="50">
        <f t="shared" si="4"/>
        <v>0.060000000000000005</v>
      </c>
      <c r="C10" s="51">
        <f t="shared" si="2"/>
        <v>1.06</v>
      </c>
      <c r="D10" s="52">
        <f t="shared" si="3"/>
        <v>0.060000000000000005</v>
      </c>
      <c r="E10" s="52">
        <f t="shared" si="0"/>
        <v>0.05912602819739998</v>
      </c>
      <c r="F10" s="52">
        <f t="shared" si="0"/>
        <v>0.058838467266648875</v>
      </c>
      <c r="G10" s="52">
        <f t="shared" si="0"/>
        <v>0.0586953846746372</v>
      </c>
      <c r="H10" s="52">
        <f t="shared" si="0"/>
        <v>0.05843900161826454</v>
      </c>
      <c r="I10" s="52">
        <f t="shared" si="0"/>
        <v>0.058336866224723005</v>
      </c>
      <c r="J10" s="52">
        <f t="shared" si="0"/>
        <v>0.05828588775003141</v>
      </c>
      <c r="K10" s="52">
        <f t="shared" si="0"/>
        <v>0.058270605789667584</v>
      </c>
      <c r="L10" s="53">
        <f t="shared" si="1"/>
        <v>0.058268908123975824</v>
      </c>
    </row>
    <row r="11" spans="2:12" ht="12.75">
      <c r="B11" s="50">
        <f t="shared" si="4"/>
        <v>0.07</v>
      </c>
      <c r="C11" s="51">
        <f t="shared" si="2"/>
        <v>1.07</v>
      </c>
      <c r="D11" s="52">
        <f t="shared" si="3"/>
        <v>0.07</v>
      </c>
      <c r="E11" s="52">
        <f t="shared" si="0"/>
        <v>0.06881608655772009</v>
      </c>
      <c r="F11" s="52">
        <f t="shared" si="0"/>
        <v>0.06842736530901461</v>
      </c>
      <c r="G11" s="52">
        <f t="shared" si="0"/>
        <v>0.0682341000072455</v>
      </c>
      <c r="H11" s="52">
        <f t="shared" si="0"/>
        <v>0.06788805018463684</v>
      </c>
      <c r="I11" s="52">
        <f t="shared" si="0"/>
        <v>0.06775028497612579</v>
      </c>
      <c r="J11" s="52">
        <f t="shared" si="0"/>
        <v>0.0676815421002619</v>
      </c>
      <c r="K11" s="52">
        <f t="shared" si="0"/>
        <v>0.06766093737176071</v>
      </c>
      <c r="L11" s="53">
        <f t="shared" si="1"/>
        <v>0.06765864847381486</v>
      </c>
    </row>
    <row r="12" spans="2:12" ht="12.75">
      <c r="B12" s="50">
        <f t="shared" si="4"/>
        <v>0.08</v>
      </c>
      <c r="C12" s="51">
        <f t="shared" si="2"/>
        <v>1.08</v>
      </c>
      <c r="D12" s="52">
        <f t="shared" si="3"/>
        <v>0.08</v>
      </c>
      <c r="E12" s="52">
        <f t="shared" si="0"/>
        <v>0.07846096908265299</v>
      </c>
      <c r="F12" s="52">
        <f t="shared" si="0"/>
        <v>0.07795670401805443</v>
      </c>
      <c r="G12" s="52">
        <f t="shared" si="0"/>
        <v>0.077706187633094</v>
      </c>
      <c r="H12" s="52">
        <f t="shared" si="0"/>
        <v>0.07725795242674804</v>
      </c>
      <c r="I12" s="52">
        <f t="shared" si="0"/>
        <v>0.07707962282422764</v>
      </c>
      <c r="J12" s="52">
        <f t="shared" si="0"/>
        <v>0.07699066374420305</v>
      </c>
      <c r="K12" s="52">
        <f t="shared" si="0"/>
        <v>0.07696400271295367</v>
      </c>
      <c r="L12" s="53">
        <f t="shared" si="1"/>
        <v>0.0769610411361284</v>
      </c>
    </row>
    <row r="13" spans="2:12" ht="12.75">
      <c r="B13" s="50">
        <f t="shared" si="4"/>
        <v>0.09</v>
      </c>
      <c r="C13" s="51">
        <f t="shared" si="2"/>
        <v>1.09</v>
      </c>
      <c r="D13" s="52">
        <f t="shared" si="3"/>
        <v>0.09</v>
      </c>
      <c r="E13" s="52">
        <f t="shared" si="0"/>
        <v>0.08806130178211014</v>
      </c>
      <c r="F13" s="52">
        <f t="shared" si="0"/>
        <v>0.08742739971451963</v>
      </c>
      <c r="G13" s="52">
        <f t="shared" si="0"/>
        <v>0.08711272345856447</v>
      </c>
      <c r="H13" s="52">
        <f t="shared" si="0"/>
        <v>0.08655009498771404</v>
      </c>
      <c r="I13" s="52">
        <f t="shared" si="0"/>
        <v>0.08632639896332117</v>
      </c>
      <c r="J13" s="52">
        <f t="shared" si="0"/>
        <v>0.08621483988677792</v>
      </c>
      <c r="K13" s="52">
        <f t="shared" si="0"/>
        <v>0.08618140964533616</v>
      </c>
      <c r="L13" s="53">
        <f t="shared" si="1"/>
        <v>0.08617769624105241</v>
      </c>
    </row>
    <row r="14" spans="2:12" ht="12.75">
      <c r="B14" s="54">
        <f t="shared" si="4"/>
        <v>0.09999999999999999</v>
      </c>
      <c r="C14" s="55">
        <f t="shared" si="2"/>
        <v>1.1</v>
      </c>
      <c r="D14" s="56">
        <f t="shared" si="3"/>
        <v>0.09999999999999999</v>
      </c>
      <c r="E14" s="56">
        <f t="shared" si="0"/>
        <v>0.09761769634030326</v>
      </c>
      <c r="F14" s="56">
        <f t="shared" si="0"/>
        <v>0.09684034636910166</v>
      </c>
      <c r="G14" s="56">
        <f t="shared" si="0"/>
        <v>0.09645475633778045</v>
      </c>
      <c r="H14" s="56">
        <f t="shared" si="0"/>
        <v>0.09576582776887</v>
      </c>
      <c r="I14" s="56">
        <f t="shared" si="0"/>
        <v>0.09549209151218374</v>
      </c>
      <c r="J14" s="56">
        <f t="shared" si="0"/>
        <v>0.09535561438964724</v>
      </c>
      <c r="K14" s="56">
        <f t="shared" si="0"/>
        <v>0.09531472196377955</v>
      </c>
      <c r="L14" s="57">
        <f>LN(C14)</f>
        <v>0.09531017980432493</v>
      </c>
    </row>
    <row r="15" spans="2:12" ht="12.75">
      <c r="B15" s="50">
        <f t="shared" si="4"/>
        <v>0.10999999999999999</v>
      </c>
      <c r="C15" s="51">
        <f t="shared" si="2"/>
        <v>1.1099999999999999</v>
      </c>
      <c r="D15" s="52">
        <f t="shared" si="3"/>
        <v>0.10999999999999999</v>
      </c>
      <c r="E15" s="52">
        <f t="shared" si="0"/>
        <v>0.10713075057054766</v>
      </c>
      <c r="F15" s="52">
        <f t="shared" si="0"/>
        <v>0.1061964163452187</v>
      </c>
      <c r="G15" s="52">
        <f t="shared" si="0"/>
        <v>0.1057333089917547</v>
      </c>
      <c r="H15" s="52">
        <f t="shared" si="0"/>
        <v>0.10490646522719471</v>
      </c>
      <c r="I15" s="52">
        <f t="shared" si="0"/>
        <v>0.10457813898644974</v>
      </c>
      <c r="J15" s="52">
        <f t="shared" si="0"/>
        <v>0.10441448933629083</v>
      </c>
      <c r="K15" s="52">
        <f t="shared" si="0"/>
        <v>0.10436546101999511</v>
      </c>
      <c r="L15" s="53">
        <f aca="true" t="shared" si="5" ref="L15:L24">LN(C15)</f>
        <v>0.10436001532424266</v>
      </c>
    </row>
    <row r="16" spans="2:12" ht="12.75">
      <c r="B16" s="50">
        <f t="shared" si="4"/>
        <v>0.11999999999999998</v>
      </c>
      <c r="C16" s="51">
        <f t="shared" si="2"/>
        <v>1.1199999999999999</v>
      </c>
      <c r="D16" s="52">
        <f t="shared" si="3"/>
        <v>0.11999999999999998</v>
      </c>
      <c r="E16" s="52">
        <f t="shared" si="0"/>
        <v>0.11660104885167222</v>
      </c>
      <c r="F16" s="52">
        <f t="shared" si="0"/>
        <v>0.11549646111066236</v>
      </c>
      <c r="G16" s="52">
        <f t="shared" si="0"/>
        <v>0.11494937888832091</v>
      </c>
      <c r="H16" s="52">
        <f t="shared" si="0"/>
        <v>0.11397328761565628</v>
      </c>
      <c r="I16" s="52">
        <f t="shared" si="0"/>
        <v>0.11358594170544078</v>
      </c>
      <c r="J16" s="52">
        <f t="shared" si="0"/>
        <v>0.11339292652718935</v>
      </c>
      <c r="K16" s="52">
        <f t="shared" si="0"/>
        <v>0.11333510724509388</v>
      </c>
      <c r="L16" s="53">
        <f t="shared" si="5"/>
        <v>0.11332868530700307</v>
      </c>
    </row>
    <row r="17" spans="2:12" ht="12.75">
      <c r="B17" s="50">
        <f t="shared" si="4"/>
        <v>0.12999999999999998</v>
      </c>
      <c r="C17" s="51">
        <f t="shared" si="2"/>
        <v>1.13</v>
      </c>
      <c r="D17" s="52">
        <f t="shared" si="3"/>
        <v>0.12999999999999998</v>
      </c>
      <c r="E17" s="52">
        <f t="shared" si="0"/>
        <v>0.12602916254692964</v>
      </c>
      <c r="F17" s="52">
        <f t="shared" si="0"/>
        <v>0.12474131191967675</v>
      </c>
      <c r="G17" s="52">
        <f t="shared" si="0"/>
        <v>0.12410393908488171</v>
      </c>
      <c r="H17" s="52">
        <f t="shared" si="0"/>
        <v>0.12296754216952754</v>
      </c>
      <c r="I17" s="52">
        <f t="shared" si="0"/>
        <v>0.12251686313694554</v>
      </c>
      <c r="J17" s="52">
        <f t="shared" si="0"/>
        <v>0.12229234890868135</v>
      </c>
      <c r="K17" s="52">
        <f t="shared" si="0"/>
        <v>0.12222510160331268</v>
      </c>
      <c r="L17" s="53">
        <f t="shared" si="5"/>
        <v>0.12221763272424911</v>
      </c>
    </row>
    <row r="18" spans="2:12" ht="12.75">
      <c r="B18" s="50">
        <f t="shared" si="4"/>
        <v>0.13999999999999999</v>
      </c>
      <c r="C18" s="51">
        <f t="shared" si="2"/>
        <v>1.14</v>
      </c>
      <c r="D18" s="52">
        <f t="shared" si="3"/>
        <v>0.13999999999999999</v>
      </c>
      <c r="E18" s="52">
        <f t="shared" si="0"/>
        <v>0.13541565040626224</v>
      </c>
      <c r="F18" s="52">
        <f t="shared" si="0"/>
        <v>0.13393178046695597</v>
      </c>
      <c r="G18" s="52">
        <f t="shared" si="0"/>
        <v>0.13319793903583754</v>
      </c>
      <c r="H18" s="52">
        <f t="shared" si="0"/>
        <v>0.1318904442414559</v>
      </c>
      <c r="I18" s="52">
        <f t="shared" si="0"/>
        <v>0.13137223118325214</v>
      </c>
      <c r="J18" s="52">
        <f t="shared" si="0"/>
        <v>0.1311141419388706</v>
      </c>
      <c r="K18" s="52">
        <f t="shared" si="0"/>
        <v>0.13103684698401175</v>
      </c>
      <c r="L18" s="53">
        <f t="shared" si="5"/>
        <v>0.131028262406404</v>
      </c>
    </row>
    <row r="19" spans="2:12" ht="12.75">
      <c r="B19" s="50">
        <f t="shared" si="4"/>
        <v>0.15</v>
      </c>
      <c r="C19" s="51">
        <f t="shared" si="2"/>
        <v>1.15</v>
      </c>
      <c r="D19" s="52">
        <f t="shared" si="3"/>
        <v>0.15</v>
      </c>
      <c r="E19" s="52">
        <f t="shared" si="0"/>
        <v>0.14476105895272173</v>
      </c>
      <c r="F19" s="52">
        <f t="shared" si="0"/>
        <v>0.14306865951494174</v>
      </c>
      <c r="G19" s="52">
        <f t="shared" si="0"/>
        <v>0.14223230536648845</v>
      </c>
      <c r="H19" s="52">
        <f t="shared" si="0"/>
        <v>0.14074317838793204</v>
      </c>
      <c r="I19" s="52">
        <f t="shared" si="0"/>
        <v>0.14015333941143626</v>
      </c>
      <c r="J19" s="52">
        <f t="shared" si="0"/>
        <v>0.13985965489418106</v>
      </c>
      <c r="K19" s="52">
        <f t="shared" si="0"/>
        <v>0.13977170953038964</v>
      </c>
      <c r="L19" s="53">
        <f t="shared" si="5"/>
        <v>0.13976194237515863</v>
      </c>
    </row>
    <row r="20" spans="2:12" ht="12.75">
      <c r="B20" s="50">
        <f t="shared" si="4"/>
        <v>0.16</v>
      </c>
      <c r="C20" s="51">
        <f t="shared" si="2"/>
        <v>1.16</v>
      </c>
      <c r="D20" s="52">
        <f t="shared" si="3"/>
        <v>0.16</v>
      </c>
      <c r="E20" s="52">
        <f t="shared" si="0"/>
        <v>0.1540659228538015</v>
      </c>
      <c r="F20" s="52">
        <f t="shared" si="0"/>
        <v>0.1521527234957405</v>
      </c>
      <c r="G20" s="52">
        <f t="shared" si="0"/>
        <v>0.15120794261506632</v>
      </c>
      <c r="H20" s="52">
        <f t="shared" si="0"/>
        <v>0.14952689940964214</v>
      </c>
      <c r="I20" s="52">
        <f t="shared" si="0"/>
        <v>0.1488614482308137</v>
      </c>
      <c r="J20" s="52">
        <f t="shared" si="0"/>
        <v>0.14853020211926804</v>
      </c>
      <c r="K20" s="52">
        <f t="shared" si="0"/>
        <v>0.14843101991224295</v>
      </c>
      <c r="L20" s="53">
        <f t="shared" si="5"/>
        <v>0.14842000511827322</v>
      </c>
    </row>
    <row r="21" spans="2:12" ht="12.75">
      <c r="B21" s="50">
        <f t="shared" si="4"/>
        <v>0.17</v>
      </c>
      <c r="C21" s="51">
        <f t="shared" si="2"/>
        <v>1.17</v>
      </c>
      <c r="D21" s="52">
        <f t="shared" si="3"/>
        <v>0.17</v>
      </c>
      <c r="E21" s="52">
        <f t="shared" si="0"/>
        <v>0.1633307652783933</v>
      </c>
      <c r="F21" s="52">
        <f t="shared" si="0"/>
        <v>0.16118472908889325</v>
      </c>
      <c r="G21" s="52">
        <f t="shared" si="0"/>
        <v>0.16012573394448637</v>
      </c>
      <c r="H21" s="52">
        <f t="shared" si="0"/>
        <v>0.15824273334805516</v>
      </c>
      <c r="I21" s="52">
        <f t="shared" si="0"/>
        <v>0.15749778602024977</v>
      </c>
      <c r="J21" s="52">
        <f t="shared" si="0"/>
        <v>0.15712706422352785</v>
      </c>
      <c r="K21" s="52">
        <f t="shared" si="0"/>
        <v>0.15701607454321476</v>
      </c>
      <c r="L21" s="53">
        <f t="shared" si="5"/>
        <v>0.1570037488096647</v>
      </c>
    </row>
    <row r="22" spans="2:12" ht="12.75">
      <c r="B22" s="50">
        <f t="shared" si="4"/>
        <v>0.18000000000000002</v>
      </c>
      <c r="C22" s="51">
        <f t="shared" si="2"/>
        <v>1.18</v>
      </c>
      <c r="D22" s="52">
        <f t="shared" si="3"/>
        <v>0.18000000000000002</v>
      </c>
      <c r="E22" s="52">
        <f t="shared" si="0"/>
        <v>0.17255609824004292</v>
      </c>
      <c r="F22" s="52">
        <f t="shared" si="0"/>
        <v>0.1701654157761625</v>
      </c>
      <c r="G22" s="52">
        <f t="shared" si="0"/>
        <v>0.1689865418252845</v>
      </c>
      <c r="H22" s="52">
        <f t="shared" si="0"/>
        <v>0.1668917784404167</v>
      </c>
      <c r="I22" s="52">
        <f t="shared" si="0"/>
        <v>0.16606355020785668</v>
      </c>
      <c r="J22" s="52">
        <f t="shared" si="0"/>
        <v>0.1656514892267813</v>
      </c>
      <c r="K22" s="52">
        <f t="shared" si="0"/>
        <v>0.1655281367480832</v>
      </c>
      <c r="L22" s="53">
        <f t="shared" si="5"/>
        <v>0.16551443847757333</v>
      </c>
    </row>
    <row r="23" spans="2:12" ht="12.75">
      <c r="B23" s="50">
        <f t="shared" si="4"/>
        <v>0.19000000000000003</v>
      </c>
      <c r="C23" s="51">
        <f t="shared" si="2"/>
        <v>1.19</v>
      </c>
      <c r="D23" s="52">
        <f t="shared" si="3"/>
        <v>0.19000000000000003</v>
      </c>
      <c r="E23" s="52">
        <f t="shared" si="0"/>
        <v>0.18174242292714293</v>
      </c>
      <c r="F23" s="52">
        <f t="shared" si="0"/>
        <v>0.1790955063744446</v>
      </c>
      <c r="G23" s="52">
        <f t="shared" si="0"/>
        <v>0.1777912086911595</v>
      </c>
      <c r="H23" s="52">
        <f t="shared" si="0"/>
        <v>0.17547510603523886</v>
      </c>
      <c r="I23" s="52">
        <f t="shared" si="0"/>
        <v>0.17455990830552714</v>
      </c>
      <c r="J23" s="52">
        <f t="shared" si="0"/>
        <v>0.17410469365664039</v>
      </c>
      <c r="K23" s="52">
        <f t="shared" si="0"/>
        <v>0.17396843787720329</v>
      </c>
      <c r="L23" s="53">
        <f t="shared" si="5"/>
        <v>0.17395330712343798</v>
      </c>
    </row>
    <row r="24" spans="2:12" ht="12.75">
      <c r="B24" s="58">
        <f t="shared" si="4"/>
        <v>0.20000000000000004</v>
      </c>
      <c r="C24" s="59">
        <f t="shared" si="2"/>
        <v>1.2</v>
      </c>
      <c r="D24" s="60">
        <f t="shared" si="3"/>
        <v>0.20000000000000004</v>
      </c>
      <c r="E24" s="60">
        <f t="shared" si="0"/>
        <v>0.1908902300206643</v>
      </c>
      <c r="F24" s="60">
        <f t="shared" si="0"/>
        <v>0.18797570754783344</v>
      </c>
      <c r="G24" s="60">
        <f t="shared" si="0"/>
        <v>0.18654055756842247</v>
      </c>
      <c r="H24" s="60">
        <f t="shared" si="0"/>
        <v>0.1839937614702425</v>
      </c>
      <c r="I24" s="60">
        <f t="shared" si="0"/>
        <v>0.18298799890048567</v>
      </c>
      <c r="J24" s="60">
        <f t="shared" si="0"/>
        <v>0.18248786360000047</v>
      </c>
      <c r="K24" s="60">
        <f t="shared" si="0"/>
        <v>0.1823381783792044</v>
      </c>
      <c r="L24" s="61">
        <f t="shared" si="5"/>
        <v>0.1823215567939546</v>
      </c>
    </row>
    <row r="26" spans="2:8" ht="15">
      <c r="B26" s="3"/>
      <c r="C26" s="197" t="s">
        <v>38</v>
      </c>
      <c r="D26" s="62"/>
      <c r="E26" s="62"/>
      <c r="F26" s="62"/>
      <c r="G26" s="62"/>
      <c r="H26" s="63"/>
    </row>
    <row r="27" spans="2:8" ht="12.75">
      <c r="B27" s="3"/>
      <c r="C27" s="64"/>
      <c r="D27" s="65"/>
      <c r="E27" s="65"/>
      <c r="F27" s="198" t="s">
        <v>85</v>
      </c>
      <c r="G27" s="65"/>
      <c r="H27" s="66"/>
    </row>
    <row r="28" spans="2:8" ht="12.75">
      <c r="B28" s="3"/>
      <c r="C28" s="64"/>
      <c r="D28" s="65"/>
      <c r="E28" s="65"/>
      <c r="F28" s="65"/>
      <c r="G28" s="65"/>
      <c r="H28" s="66"/>
    </row>
    <row r="29" spans="2:8" ht="12.75">
      <c r="B29" s="3"/>
      <c r="C29" s="64"/>
      <c r="D29" s="65"/>
      <c r="E29" s="65"/>
      <c r="F29" s="65"/>
      <c r="G29" s="67"/>
      <c r="H29" s="68"/>
    </row>
    <row r="30" spans="2:8" ht="12.75">
      <c r="B30" s="3"/>
      <c r="C30" s="64"/>
      <c r="D30" s="65"/>
      <c r="E30" s="65"/>
      <c r="F30" s="198" t="s">
        <v>86</v>
      </c>
      <c r="G30" s="65"/>
      <c r="H30" s="66"/>
    </row>
    <row r="31" spans="2:8" ht="12.75">
      <c r="B31" s="3"/>
      <c r="C31" s="64"/>
      <c r="D31" s="65"/>
      <c r="E31" s="65"/>
      <c r="F31" s="65"/>
      <c r="G31" s="65"/>
      <c r="H31" s="66"/>
    </row>
    <row r="32" spans="2:8" ht="12.75">
      <c r="B32" s="3"/>
      <c r="C32" s="64"/>
      <c r="D32" s="65"/>
      <c r="E32" s="65"/>
      <c r="F32" s="65"/>
      <c r="G32" s="65"/>
      <c r="H32" s="66"/>
    </row>
    <row r="33" spans="2:8" ht="12.75">
      <c r="B33" s="3"/>
      <c r="C33" s="64"/>
      <c r="D33" s="65"/>
      <c r="E33" s="65"/>
      <c r="F33" s="198" t="s">
        <v>87</v>
      </c>
      <c r="G33" s="65"/>
      <c r="H33" s="66"/>
    </row>
    <row r="34" spans="2:8" ht="12.75">
      <c r="B34" s="3"/>
      <c r="C34" s="69"/>
      <c r="D34" s="70"/>
      <c r="E34" s="70"/>
      <c r="F34" s="70"/>
      <c r="G34" s="70"/>
      <c r="H34" s="71"/>
    </row>
  </sheetData>
  <sheetProtection password="F751" sheet="1" objects="1" scenarios="1"/>
  <printOptions/>
  <pageMargins left="0.75" right="0.75" top="1" bottom="1" header="0.5" footer="0.5"/>
  <pageSetup horizontalDpi="600" verticalDpi="600" orientation="portrait" paperSize="9" r:id="rId5"/>
  <legacyDrawing r:id="rId4"/>
  <oleObjects>
    <oleObject progId="Equation.3" shapeId="300012" r:id="rId1"/>
    <oleObject progId="Equation.3" shapeId="300013" r:id="rId2"/>
    <oleObject progId="Equation.3" shapeId="300014" r:id="rId3"/>
  </oleObjects>
</worksheet>
</file>

<file path=xl/worksheets/sheet4.xml><?xml version="1.0" encoding="utf-8"?>
<worksheet xmlns="http://schemas.openxmlformats.org/spreadsheetml/2006/main" xmlns:r="http://schemas.openxmlformats.org/officeDocument/2006/relationships">
  <dimension ref="B2:I21"/>
  <sheetViews>
    <sheetView zoomScalePageLayoutView="0" workbookViewId="0" topLeftCell="A2">
      <selection activeCell="A17" sqref="A17"/>
    </sheetView>
  </sheetViews>
  <sheetFormatPr defaultColWidth="9.140625" defaultRowHeight="12.75"/>
  <cols>
    <col min="1" max="2" width="9.140625" style="2" customWidth="1"/>
    <col min="3" max="3" width="18.00390625" style="2" customWidth="1"/>
    <col min="4" max="4" width="13.7109375" style="2" customWidth="1"/>
    <col min="5" max="5" width="11.28125" style="2" customWidth="1"/>
    <col min="6" max="6" width="12.140625" style="2" customWidth="1"/>
    <col min="7" max="7" width="13.28125" style="2" customWidth="1"/>
    <col min="8" max="8" width="14.57421875" style="2" customWidth="1"/>
    <col min="9" max="9" width="14.7109375" style="2" customWidth="1"/>
    <col min="10" max="10" width="12.421875" style="2" customWidth="1"/>
    <col min="11" max="16384" width="9.140625" style="2" customWidth="1"/>
  </cols>
  <sheetData>
    <row r="1" ht="13.5" thickBot="1"/>
    <row r="2" spans="2:5" ht="18" thickBot="1">
      <c r="B2" s="38" t="s">
        <v>88</v>
      </c>
      <c r="C2" s="39"/>
      <c r="D2" s="72"/>
      <c r="E2" s="73"/>
    </row>
    <row r="4" spans="2:6" ht="15">
      <c r="B4" s="199" t="s">
        <v>28</v>
      </c>
      <c r="C4" s="200"/>
      <c r="D4" s="200"/>
      <c r="E4" s="200"/>
      <c r="F4" s="201"/>
    </row>
    <row r="5" spans="2:6" s="5" customFormat="1" ht="30.75">
      <c r="B5" s="202" t="s">
        <v>29</v>
      </c>
      <c r="C5" s="203" t="s">
        <v>30</v>
      </c>
      <c r="D5" s="204" t="s">
        <v>31</v>
      </c>
      <c r="E5" s="204" t="s">
        <v>32</v>
      </c>
      <c r="F5" s="205" t="s">
        <v>32</v>
      </c>
    </row>
    <row r="6" spans="2:6" ht="18">
      <c r="B6" s="74" t="s">
        <v>2</v>
      </c>
      <c r="C6" s="75" t="s">
        <v>72</v>
      </c>
      <c r="D6" s="75" t="s">
        <v>73</v>
      </c>
      <c r="E6" s="75" t="s">
        <v>74</v>
      </c>
      <c r="F6" s="76" t="s">
        <v>74</v>
      </c>
    </row>
    <row r="7" spans="2:6" ht="12.75">
      <c r="B7" s="77">
        <v>1</v>
      </c>
      <c r="C7" s="36">
        <v>80</v>
      </c>
      <c r="D7" s="78"/>
      <c r="E7" s="79"/>
      <c r="F7" s="80"/>
    </row>
    <row r="8" spans="2:6" ht="12.75">
      <c r="B8" s="77">
        <v>2</v>
      </c>
      <c r="C8" s="36">
        <v>85</v>
      </c>
      <c r="D8" s="78">
        <f>(C8-C7)/C7</f>
        <v>0.0625</v>
      </c>
      <c r="E8" s="79"/>
      <c r="F8" s="80"/>
    </row>
    <row r="9" spans="2:6" ht="12.75">
      <c r="B9" s="81">
        <v>3</v>
      </c>
      <c r="C9" s="37">
        <v>90</v>
      </c>
      <c r="D9" s="82">
        <f>(C9-C8)/C8</f>
        <v>0.058823529411764705</v>
      </c>
      <c r="E9" s="83">
        <f>(C9-C7)/C7</f>
        <v>0.125</v>
      </c>
      <c r="F9" s="84">
        <f>(1+D8)*(1+D9)-1</f>
        <v>0.125</v>
      </c>
    </row>
    <row r="10" spans="2:4" ht="12.75">
      <c r="B10" s="5"/>
      <c r="C10" s="5"/>
      <c r="D10" s="6"/>
    </row>
    <row r="11" ht="12.75"/>
    <row r="12" ht="12.75"/>
    <row r="13" ht="12.75"/>
    <row r="14" ht="12.75"/>
    <row r="15" ht="13.5" thickBot="1"/>
    <row r="16" spans="2:9" ht="18" thickBot="1">
      <c r="B16" s="38" t="s">
        <v>89</v>
      </c>
      <c r="C16" s="38"/>
      <c r="D16" s="38"/>
      <c r="E16" s="38"/>
      <c r="F16" s="38"/>
      <c r="G16" s="85"/>
      <c r="H16" s="85"/>
      <c r="I16" s="85"/>
    </row>
    <row r="17" spans="2:9" ht="30.75">
      <c r="B17" s="199" t="s">
        <v>29</v>
      </c>
      <c r="C17" s="200" t="s">
        <v>30</v>
      </c>
      <c r="D17" s="200" t="s">
        <v>33</v>
      </c>
      <c r="E17" s="206" t="s">
        <v>31</v>
      </c>
      <c r="F17" s="206" t="s">
        <v>31</v>
      </c>
      <c r="G17" s="206" t="s">
        <v>32</v>
      </c>
      <c r="H17" s="206" t="s">
        <v>32</v>
      </c>
      <c r="I17" s="207" t="s">
        <v>32</v>
      </c>
    </row>
    <row r="18" spans="2:9" ht="18">
      <c r="B18" s="74" t="s">
        <v>2</v>
      </c>
      <c r="C18" s="75" t="s">
        <v>72</v>
      </c>
      <c r="D18" s="75" t="s">
        <v>75</v>
      </c>
      <c r="E18" s="75" t="s">
        <v>76</v>
      </c>
      <c r="F18" s="75" t="s">
        <v>76</v>
      </c>
      <c r="G18" s="75" t="s">
        <v>77</v>
      </c>
      <c r="H18" s="75" t="s">
        <v>77</v>
      </c>
      <c r="I18" s="76" t="s">
        <v>77</v>
      </c>
    </row>
    <row r="19" spans="2:9" ht="12.75">
      <c r="B19" s="86">
        <v>1</v>
      </c>
      <c r="C19" s="35">
        <v>80</v>
      </c>
      <c r="D19" s="87">
        <f>LN(C19)</f>
        <v>4.382026634673881</v>
      </c>
      <c r="E19" s="88"/>
      <c r="F19" s="88"/>
      <c r="G19" s="88"/>
      <c r="H19" s="88"/>
      <c r="I19" s="89"/>
    </row>
    <row r="20" spans="2:9" ht="12.75">
      <c r="B20" s="77">
        <v>2</v>
      </c>
      <c r="C20" s="36">
        <v>85</v>
      </c>
      <c r="D20" s="90">
        <f>LN(C20)</f>
        <v>4.442651256490317</v>
      </c>
      <c r="E20" s="78">
        <f>D20-D19</f>
        <v>0.060624621816435464</v>
      </c>
      <c r="F20" s="78">
        <f>LN(1+D8)</f>
        <v>0.06062462181643484</v>
      </c>
      <c r="G20" s="78"/>
      <c r="H20" s="78"/>
      <c r="I20" s="91"/>
    </row>
    <row r="21" spans="2:9" ht="12.75">
      <c r="B21" s="81">
        <v>3</v>
      </c>
      <c r="C21" s="37">
        <v>90</v>
      </c>
      <c r="D21" s="92">
        <f>LN(C21)</f>
        <v>4.499809670330265</v>
      </c>
      <c r="E21" s="82">
        <f>D21-D20</f>
        <v>0.05715841383994835</v>
      </c>
      <c r="F21" s="82">
        <f>LN(1+D9)</f>
        <v>0.05715841383994862</v>
      </c>
      <c r="G21" s="82">
        <f>D21-D19</f>
        <v>0.11778303565638382</v>
      </c>
      <c r="H21" s="82">
        <f>LN(1+E9)</f>
        <v>0.11778303565638346</v>
      </c>
      <c r="I21" s="93">
        <f>SUM(E20:E21)</f>
        <v>0.11778303565638382</v>
      </c>
    </row>
    <row r="24" ht="12.75"/>
  </sheetData>
  <sheetProtection password="DDD4" sheet="1" objects="1" scenarios="1"/>
  <printOptions/>
  <pageMargins left="0.75" right="0.75" top="1" bottom="1" header="0.5" footer="0.5"/>
  <pageSetup horizontalDpi="600" verticalDpi="600" orientation="portrait" r:id="rId11"/>
  <drawing r:id="rId10"/>
  <legacyDrawing r:id="rId9"/>
  <oleObjects>
    <oleObject progId="Equation.DSMT4" shapeId="1875833" r:id="rId1"/>
    <oleObject progId="Equation.DSMT4" shapeId="1879070" r:id="rId2"/>
    <oleObject progId="Equation.DSMT4" shapeId="1881799" r:id="rId3"/>
    <oleObject progId="Equation.DSMT4" shapeId="1912398" r:id="rId4"/>
    <oleObject progId="Equation.DSMT4" shapeId="1914564" r:id="rId5"/>
    <oleObject progId="Equation.DSMT4" shapeId="1918146" r:id="rId6"/>
    <oleObject progId="Equation.DSMT4" shapeId="1924931" r:id="rId7"/>
    <oleObject progId="Equation.DSMT4" shapeId="1929246" r:id="rId8"/>
  </oleObjects>
</worksheet>
</file>

<file path=xl/worksheets/sheet5.xml><?xml version="1.0" encoding="utf-8"?>
<worksheet xmlns="http://schemas.openxmlformats.org/spreadsheetml/2006/main" xmlns:r="http://schemas.openxmlformats.org/officeDocument/2006/relationships">
  <dimension ref="B2:J13"/>
  <sheetViews>
    <sheetView zoomScalePageLayoutView="0" workbookViewId="0" topLeftCell="A1">
      <selection activeCell="G6" sqref="G6"/>
    </sheetView>
  </sheetViews>
  <sheetFormatPr defaultColWidth="9.140625" defaultRowHeight="12.75"/>
  <cols>
    <col min="1" max="1" width="6.7109375" style="2" customWidth="1"/>
    <col min="2" max="2" width="10.28125" style="2" bestFit="1" customWidth="1"/>
    <col min="3" max="3" width="11.00390625" style="2" customWidth="1"/>
    <col min="4" max="4" width="16.28125" style="2" customWidth="1"/>
    <col min="5" max="5" width="12.7109375" style="2" customWidth="1"/>
    <col min="6" max="6" width="13.8515625" style="2" customWidth="1"/>
    <col min="7" max="7" width="21.57421875" style="2" bestFit="1" customWidth="1"/>
    <col min="8" max="8" width="9.140625" style="2" customWidth="1"/>
    <col min="9" max="9" width="9.57421875" style="2" bestFit="1" customWidth="1"/>
    <col min="10" max="10" width="16.57421875" style="2" bestFit="1" customWidth="1"/>
    <col min="11" max="16384" width="9.140625" style="2" customWidth="1"/>
  </cols>
  <sheetData>
    <row r="2" spans="2:7" s="5" customFormat="1" ht="15">
      <c r="B2" s="94"/>
      <c r="C2" s="208" t="s">
        <v>12</v>
      </c>
      <c r="D2" s="209" t="s">
        <v>13</v>
      </c>
      <c r="E2" s="209" t="s">
        <v>14</v>
      </c>
      <c r="F2" s="209" t="s">
        <v>15</v>
      </c>
      <c r="G2" s="210" t="s">
        <v>16</v>
      </c>
    </row>
    <row r="3" spans="2:7" ht="15">
      <c r="B3" s="95" t="s">
        <v>17</v>
      </c>
      <c r="C3" s="211">
        <v>1</v>
      </c>
      <c r="D3" s="212">
        <v>5</v>
      </c>
      <c r="E3" s="212">
        <v>5</v>
      </c>
      <c r="F3" s="212">
        <f>E3/D3</f>
        <v>1</v>
      </c>
      <c r="G3" s="213">
        <f>NORMDIST(,D3,E3,TRUE)</f>
        <v>0.158655253931457</v>
      </c>
    </row>
    <row r="4" spans="2:7" ht="15">
      <c r="B4" s="95" t="s">
        <v>78</v>
      </c>
      <c r="C4" s="214">
        <f>C3/4</f>
        <v>0.25</v>
      </c>
      <c r="D4" s="215">
        <f>D3/4</f>
        <v>1.25</v>
      </c>
      <c r="E4" s="215">
        <f>5*SQRT(1/4)</f>
        <v>2.5</v>
      </c>
      <c r="F4" s="215">
        <f>E4/D4</f>
        <v>2</v>
      </c>
      <c r="G4" s="216">
        <f>NORMDIST(,D4,E4,TRUE)</f>
        <v>0.3085375387259869</v>
      </c>
    </row>
    <row r="5" spans="2:7" ht="15">
      <c r="B5" s="95" t="s">
        <v>18</v>
      </c>
      <c r="C5" s="214">
        <f>C3/12</f>
        <v>0.08333333333333333</v>
      </c>
      <c r="D5" s="215">
        <f>D3/12</f>
        <v>0.4166666666666667</v>
      </c>
      <c r="E5" s="215">
        <f>5*SQRT(1/12)</f>
        <v>1.4433756729740643</v>
      </c>
      <c r="F5" s="215">
        <f>E5/D5</f>
        <v>3.4641016151377544</v>
      </c>
      <c r="G5" s="216">
        <f>NORMDIST(,D5,E5,TRUE)</f>
        <v>0.38641499634222376</v>
      </c>
    </row>
    <row r="6" spans="2:7" ht="15">
      <c r="B6" s="95" t="s">
        <v>19</v>
      </c>
      <c r="C6" s="214">
        <f>C3/52</f>
        <v>0.019230769230769232</v>
      </c>
      <c r="D6" s="215">
        <f>D3/52</f>
        <v>0.09615384615384616</v>
      </c>
      <c r="E6" s="215">
        <f>5*SQRT(1/52)</f>
        <v>0.6933752452815365</v>
      </c>
      <c r="F6" s="215">
        <f>E6/D6</f>
        <v>7.211102550927979</v>
      </c>
      <c r="G6" s="216">
        <f>NORMDIST(,D6,E6,TRUE)</f>
        <v>0.4448534677665506</v>
      </c>
    </row>
    <row r="7" spans="2:7" ht="15">
      <c r="B7" s="96" t="s">
        <v>20</v>
      </c>
      <c r="C7" s="217">
        <f>1/252</f>
        <v>0.003968253968253968</v>
      </c>
      <c r="D7" s="218">
        <f>5/252</f>
        <v>0.01984126984126984</v>
      </c>
      <c r="E7" s="218">
        <f>5*SQRT(1/252)</f>
        <v>0.314970394174356</v>
      </c>
      <c r="F7" s="218">
        <f>E7/D7</f>
        <v>15.874507866387544</v>
      </c>
      <c r="G7" s="219">
        <f>NORMDIST(,D7,E7,TRUE)</f>
        <v>0.47488560968174204</v>
      </c>
    </row>
    <row r="9" ht="12.75">
      <c r="J9" s="7"/>
    </row>
    <row r="13" ht="12.75">
      <c r="G13" s="7"/>
    </row>
  </sheetData>
  <sheetProtection password="DDD4"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F23"/>
  <sheetViews>
    <sheetView zoomScalePageLayoutView="0" workbookViewId="0" topLeftCell="A1">
      <selection activeCell="B32" sqref="B32"/>
    </sheetView>
  </sheetViews>
  <sheetFormatPr defaultColWidth="9.140625" defaultRowHeight="12.75"/>
  <cols>
    <col min="1" max="1" width="9.140625" style="2" customWidth="1"/>
    <col min="2" max="2" width="7.140625" style="2" customWidth="1"/>
    <col min="3" max="3" width="20.7109375" style="2" customWidth="1"/>
    <col min="4" max="4" width="22.28125" style="2" customWidth="1"/>
    <col min="5" max="5" width="24.57421875" style="2" customWidth="1"/>
    <col min="6" max="6" width="27.140625" style="2" customWidth="1"/>
    <col min="7" max="7" width="12.421875" style="2" bestFit="1" customWidth="1"/>
    <col min="8" max="16384" width="9.140625" style="2" customWidth="1"/>
  </cols>
  <sheetData>
    <row r="2" spans="2:4" ht="15">
      <c r="B2" s="97" t="s">
        <v>79</v>
      </c>
      <c r="C2" s="98"/>
      <c r="D2" s="99"/>
    </row>
    <row r="5" spans="2:4" ht="12.75">
      <c r="B5" s="220" t="s">
        <v>39</v>
      </c>
      <c r="C5" s="100"/>
      <c r="D5" s="100"/>
    </row>
    <row r="7" spans="2:6" ht="12.75">
      <c r="B7" s="85"/>
      <c r="C7" s="101" t="s">
        <v>40</v>
      </c>
      <c r="D7" s="101" t="s">
        <v>41</v>
      </c>
      <c r="E7" s="5"/>
      <c r="F7" s="107" t="s">
        <v>42</v>
      </c>
    </row>
    <row r="8" spans="2:6" ht="12.75">
      <c r="B8" s="102" t="s">
        <v>43</v>
      </c>
      <c r="C8" s="103">
        <v>0.3</v>
      </c>
      <c r="D8" s="104">
        <f>0.33^2</f>
        <v>0.10890000000000001</v>
      </c>
      <c r="F8" s="108">
        <v>-0.8</v>
      </c>
    </row>
    <row r="9" spans="2:4" ht="12.75">
      <c r="B9" s="102" t="s">
        <v>44</v>
      </c>
      <c r="C9" s="105">
        <v>-0.2</v>
      </c>
      <c r="D9" s="106">
        <f>0.45^2</f>
        <v>0.2025</v>
      </c>
    </row>
    <row r="12" spans="2:6" ht="12.75">
      <c r="B12" s="221" t="s">
        <v>45</v>
      </c>
      <c r="C12" s="222" t="s">
        <v>46</v>
      </c>
      <c r="D12" s="222" t="s">
        <v>47</v>
      </c>
      <c r="E12" s="222" t="s">
        <v>48</v>
      </c>
      <c r="F12" s="223" t="s">
        <v>49</v>
      </c>
    </row>
    <row r="13" spans="2:6" ht="12.75">
      <c r="B13" s="86">
        <v>1</v>
      </c>
      <c r="C13" s="224">
        <v>1</v>
      </c>
      <c r="D13" s="224">
        <v>0</v>
      </c>
      <c r="E13" s="88">
        <f aca="true" t="shared" si="0" ref="E13:E23">C13^2*D$8+D13^2*D$9+2*C13*D13*F$8*SQRT(D$8)*SQRT(D$9)</f>
        <v>0.10890000000000001</v>
      </c>
      <c r="F13" s="225">
        <f>C13*C$8+D13*C$9</f>
        <v>0.3</v>
      </c>
    </row>
    <row r="14" spans="2:6" ht="12.75">
      <c r="B14" s="77">
        <v>2</v>
      </c>
      <c r="C14" s="226">
        <v>0.9</v>
      </c>
      <c r="D14" s="226">
        <v>0.1</v>
      </c>
      <c r="E14" s="78">
        <f t="shared" si="0"/>
        <v>0.06885000000000001</v>
      </c>
      <c r="F14" s="227">
        <f aca="true" t="shared" si="1" ref="F14:F23">C14*C$8+D14*C$9</f>
        <v>0.25</v>
      </c>
    </row>
    <row r="15" spans="2:6" ht="12.75">
      <c r="B15" s="77">
        <v>3</v>
      </c>
      <c r="C15" s="226">
        <v>0.8</v>
      </c>
      <c r="D15" s="226">
        <v>0.2</v>
      </c>
      <c r="E15" s="78">
        <f t="shared" si="0"/>
        <v>0.03978</v>
      </c>
      <c r="F15" s="227">
        <f t="shared" si="1"/>
        <v>0.19999999999999998</v>
      </c>
    </row>
    <row r="16" spans="2:6" ht="12.75">
      <c r="B16" s="77">
        <v>4</v>
      </c>
      <c r="C16" s="226">
        <v>0.7</v>
      </c>
      <c r="D16" s="226">
        <v>0.3</v>
      </c>
      <c r="E16" s="78">
        <f t="shared" si="0"/>
        <v>0.021689999999999994</v>
      </c>
      <c r="F16" s="227">
        <f t="shared" si="1"/>
        <v>0.15</v>
      </c>
    </row>
    <row r="17" spans="2:6" ht="12.75">
      <c r="B17" s="77">
        <v>5</v>
      </c>
      <c r="C17" s="226">
        <v>0.6</v>
      </c>
      <c r="D17" s="226">
        <v>0.4</v>
      </c>
      <c r="E17" s="78">
        <f t="shared" si="0"/>
        <v>0.014580000000000003</v>
      </c>
      <c r="F17" s="227">
        <f t="shared" si="1"/>
        <v>0.09999999999999998</v>
      </c>
    </row>
    <row r="18" spans="2:6" ht="12.75">
      <c r="B18" s="77">
        <v>6</v>
      </c>
      <c r="C18" s="226">
        <v>0.5</v>
      </c>
      <c r="D18" s="226">
        <v>0.5</v>
      </c>
      <c r="E18" s="78">
        <f t="shared" si="0"/>
        <v>0.01845</v>
      </c>
      <c r="F18" s="227">
        <f t="shared" si="1"/>
        <v>0.04999999999999999</v>
      </c>
    </row>
    <row r="19" spans="2:6" ht="12.75">
      <c r="B19" s="77">
        <v>7</v>
      </c>
      <c r="C19" s="226">
        <v>0.4</v>
      </c>
      <c r="D19" s="226">
        <v>0.6</v>
      </c>
      <c r="E19" s="78">
        <f t="shared" si="0"/>
        <v>0.03330000000000002</v>
      </c>
      <c r="F19" s="227">
        <f t="shared" si="1"/>
        <v>0</v>
      </c>
    </row>
    <row r="20" spans="2:6" ht="12.75">
      <c r="B20" s="77">
        <v>8</v>
      </c>
      <c r="C20" s="226">
        <v>0.3</v>
      </c>
      <c r="D20" s="226">
        <v>0.7</v>
      </c>
      <c r="E20" s="78">
        <f t="shared" si="0"/>
        <v>0.059129999999999995</v>
      </c>
      <c r="F20" s="227">
        <f t="shared" si="1"/>
        <v>-0.04999999999999999</v>
      </c>
    </row>
    <row r="21" spans="2:6" ht="12.75">
      <c r="B21" s="77">
        <v>9</v>
      </c>
      <c r="C21" s="226">
        <v>0.2</v>
      </c>
      <c r="D21" s="226">
        <v>0.8</v>
      </c>
      <c r="E21" s="78">
        <f t="shared" si="0"/>
        <v>0.09594</v>
      </c>
      <c r="F21" s="227">
        <f t="shared" si="1"/>
        <v>-0.10000000000000003</v>
      </c>
    </row>
    <row r="22" spans="2:6" ht="12.75">
      <c r="B22" s="77">
        <v>10</v>
      </c>
      <c r="C22" s="226">
        <v>0.1</v>
      </c>
      <c r="D22" s="226">
        <v>0.9</v>
      </c>
      <c r="E22" s="78">
        <f t="shared" si="0"/>
        <v>0.14373000000000002</v>
      </c>
      <c r="F22" s="227">
        <f t="shared" si="1"/>
        <v>-0.15000000000000002</v>
      </c>
    </row>
    <row r="23" spans="2:6" ht="12.75">
      <c r="B23" s="81">
        <v>11</v>
      </c>
      <c r="C23" s="228">
        <v>0</v>
      </c>
      <c r="D23" s="228">
        <v>1</v>
      </c>
      <c r="E23" s="82">
        <f t="shared" si="0"/>
        <v>0.2025</v>
      </c>
      <c r="F23" s="229">
        <f t="shared" si="1"/>
        <v>-0.2</v>
      </c>
    </row>
  </sheetData>
  <sheetProtection/>
  <printOptions gridLines="1"/>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dimension ref="B2:AE308"/>
  <sheetViews>
    <sheetView showGridLines="0" zoomScalePageLayoutView="0" workbookViewId="0" topLeftCell="O48">
      <selection activeCell="AB61" sqref="AB61"/>
    </sheetView>
  </sheetViews>
  <sheetFormatPr defaultColWidth="9.140625" defaultRowHeight="12.75"/>
  <cols>
    <col min="1" max="1" width="9.140625" style="8" customWidth="1"/>
    <col min="2" max="7" width="10.140625" style="9" customWidth="1"/>
    <col min="8" max="8" width="12.28125" style="10" customWidth="1"/>
    <col min="9" max="13" width="10.00390625" style="9" bestFit="1" customWidth="1"/>
    <col min="14" max="21" width="9.140625" style="8" customWidth="1"/>
    <col min="22" max="22" width="12.140625" style="8" customWidth="1"/>
    <col min="23" max="23" width="12.57421875" style="8" bestFit="1" customWidth="1"/>
    <col min="24" max="24" width="16.8515625" style="8" bestFit="1" customWidth="1"/>
    <col min="25" max="25" width="13.421875" style="8" customWidth="1"/>
    <col min="26" max="26" width="12.421875" style="8" customWidth="1"/>
    <col min="27" max="27" width="13.00390625" style="8" customWidth="1"/>
    <col min="28" max="16384" width="9.140625" style="8" customWidth="1"/>
  </cols>
  <sheetData>
    <row r="1" ht="12"/>
    <row r="2" spans="2:23" ht="12">
      <c r="B2" s="109" t="s">
        <v>21</v>
      </c>
      <c r="C2" s="230" t="s">
        <v>51</v>
      </c>
      <c r="D2" s="230" t="s">
        <v>52</v>
      </c>
      <c r="E2" s="230" t="s">
        <v>53</v>
      </c>
      <c r="F2" s="230" t="s">
        <v>54</v>
      </c>
      <c r="G2" s="125" t="s">
        <v>55</v>
      </c>
      <c r="I2" s="231" t="s">
        <v>56</v>
      </c>
      <c r="J2" s="232"/>
      <c r="K2" s="232"/>
      <c r="L2" s="232"/>
      <c r="M2" s="233"/>
      <c r="O2" s="113"/>
      <c r="P2" s="110" t="s">
        <v>57</v>
      </c>
      <c r="Q2" s="111"/>
      <c r="R2" s="111"/>
      <c r="S2" s="111"/>
      <c r="T2" s="112"/>
      <c r="V2" s="13"/>
      <c r="W2" s="13"/>
    </row>
    <row r="3" spans="2:20" ht="12">
      <c r="B3" s="234">
        <v>37623</v>
      </c>
      <c r="C3" s="235">
        <v>4650</v>
      </c>
      <c r="D3" s="235">
        <v>6475</v>
      </c>
      <c r="E3" s="235">
        <v>3700</v>
      </c>
      <c r="F3" s="235">
        <v>20252</v>
      </c>
      <c r="G3" s="236">
        <v>14750</v>
      </c>
      <c r="H3" s="237"/>
      <c r="I3" s="109" t="s">
        <v>51</v>
      </c>
      <c r="J3" s="230" t="s">
        <v>52</v>
      </c>
      <c r="K3" s="230" t="s">
        <v>53</v>
      </c>
      <c r="L3" s="230" t="s">
        <v>54</v>
      </c>
      <c r="M3" s="125" t="s">
        <v>55</v>
      </c>
      <c r="O3" s="113"/>
      <c r="P3" s="14" t="s">
        <v>51</v>
      </c>
      <c r="Q3" s="11" t="s">
        <v>52</v>
      </c>
      <c r="R3" s="11" t="s">
        <v>53</v>
      </c>
      <c r="S3" s="11" t="s">
        <v>54</v>
      </c>
      <c r="T3" s="12" t="s">
        <v>55</v>
      </c>
    </row>
    <row r="4" spans="2:24" ht="12">
      <c r="B4" s="238">
        <v>37624</v>
      </c>
      <c r="C4" s="239">
        <v>4825</v>
      </c>
      <c r="D4" s="239">
        <v>6575</v>
      </c>
      <c r="E4" s="239">
        <v>3900</v>
      </c>
      <c r="F4" s="239">
        <v>20752</v>
      </c>
      <c r="G4" s="240">
        <v>14750</v>
      </c>
      <c r="H4" s="241"/>
      <c r="I4" s="242">
        <f>C4/C3-1</f>
        <v>0.037634408602150504</v>
      </c>
      <c r="J4" s="243">
        <f aca="true" t="shared" si="0" ref="J4:M19">D4/D3-1</f>
        <v>0.015444015444015413</v>
      </c>
      <c r="K4" s="243">
        <f t="shared" si="0"/>
        <v>0.054054054054053946</v>
      </c>
      <c r="L4" s="243">
        <f t="shared" si="0"/>
        <v>0.02468891961287767</v>
      </c>
      <c r="M4" s="244">
        <f t="shared" si="0"/>
        <v>0</v>
      </c>
      <c r="O4" s="15" t="s">
        <v>51</v>
      </c>
      <c r="P4" s="114">
        <v>1</v>
      </c>
      <c r="Q4" s="115">
        <f>CORREL($I$4:$I$298,J$4:J$298)</f>
        <v>0.7276418193940418</v>
      </c>
      <c r="R4" s="115">
        <f>CORREL($I$4:$I$298,K$4:K$298)</f>
        <v>0.7179424579257032</v>
      </c>
      <c r="S4" s="115">
        <f>CORREL($I$4:$I$298,L$4:L$298)</f>
        <v>0.5294273656592271</v>
      </c>
      <c r="T4" s="116">
        <f>CORREL($I$4:$I$298,M$4:M$298)</f>
        <v>0.519953804713474</v>
      </c>
      <c r="V4" s="123"/>
      <c r="W4" s="124" t="s">
        <v>68</v>
      </c>
      <c r="X4" s="125" t="s">
        <v>58</v>
      </c>
    </row>
    <row r="5" spans="2:24" ht="12">
      <c r="B5" s="238">
        <v>37627</v>
      </c>
      <c r="C5" s="239">
        <v>4650</v>
      </c>
      <c r="D5" s="239">
        <v>6225</v>
      </c>
      <c r="E5" s="239">
        <v>3625</v>
      </c>
      <c r="F5" s="239">
        <v>20002</v>
      </c>
      <c r="G5" s="240">
        <v>14250</v>
      </c>
      <c r="H5" s="241"/>
      <c r="I5" s="245">
        <f aca="true" t="shared" si="1" ref="I5:I68">C5/C4-1</f>
        <v>-0.03626943005181349</v>
      </c>
      <c r="J5" s="246">
        <f t="shared" si="0"/>
        <v>-0.05323193916349811</v>
      </c>
      <c r="K5" s="246">
        <f t="shared" si="0"/>
        <v>-0.07051282051282048</v>
      </c>
      <c r="L5" s="246">
        <f t="shared" si="0"/>
        <v>-0.03614109483423289</v>
      </c>
      <c r="M5" s="247">
        <f t="shared" si="0"/>
        <v>-0.03389830508474578</v>
      </c>
      <c r="O5" s="16" t="s">
        <v>52</v>
      </c>
      <c r="P5" s="117">
        <f>Q4</f>
        <v>0.7276418193940418</v>
      </c>
      <c r="Q5" s="118">
        <v>1</v>
      </c>
      <c r="R5" s="118">
        <f>CORREL($J$4:$J$298,K$4:K$298)</f>
        <v>0.6833281711350234</v>
      </c>
      <c r="S5" s="118">
        <f>CORREL($J$4:$J$298,L$4:L$298)</f>
        <v>0.5443964095495297</v>
      </c>
      <c r="T5" s="119">
        <f>CORREL($J$4:$J$298,M$4:M$298)</f>
        <v>0.5504368659882888</v>
      </c>
      <c r="V5" s="15" t="s">
        <v>51</v>
      </c>
      <c r="W5" s="264">
        <f>I303*100</f>
        <v>77.23135256104949</v>
      </c>
      <c r="X5" s="265">
        <f>I304*100</f>
        <v>52.233850775741566</v>
      </c>
    </row>
    <row r="6" spans="2:24" ht="12">
      <c r="B6" s="238">
        <v>37628</v>
      </c>
      <c r="C6" s="239">
        <v>4050</v>
      </c>
      <c r="D6" s="239">
        <v>5950</v>
      </c>
      <c r="E6" s="239">
        <v>3425</v>
      </c>
      <c r="F6" s="239">
        <v>19002</v>
      </c>
      <c r="G6" s="240">
        <v>13500</v>
      </c>
      <c r="H6" s="241"/>
      <c r="I6" s="245">
        <f t="shared" si="1"/>
        <v>-0.12903225806451613</v>
      </c>
      <c r="J6" s="246">
        <f t="shared" si="0"/>
        <v>-0.04417670682730923</v>
      </c>
      <c r="K6" s="246">
        <f t="shared" si="0"/>
        <v>-0.05517241379310345</v>
      </c>
      <c r="L6" s="246">
        <f t="shared" si="0"/>
        <v>-0.04999500049994998</v>
      </c>
      <c r="M6" s="247">
        <f t="shared" si="0"/>
        <v>-0.052631578947368474</v>
      </c>
      <c r="O6" s="16" t="s">
        <v>53</v>
      </c>
      <c r="P6" s="117">
        <f>R4</f>
        <v>0.7179424579257032</v>
      </c>
      <c r="Q6" s="118">
        <f>R5</f>
        <v>0.6833281711350234</v>
      </c>
      <c r="R6" s="118">
        <v>1</v>
      </c>
      <c r="S6" s="118">
        <f>CORREL($K$4:$K$298,L$4:L$298)</f>
        <v>0.536995966065141</v>
      </c>
      <c r="T6" s="119">
        <f>CORREL($K$4:$K$298,M$4:M$298)</f>
        <v>0.49957871290824846</v>
      </c>
      <c r="V6" s="16" t="s">
        <v>52</v>
      </c>
      <c r="W6" s="266">
        <f>J303*100</f>
        <v>12.424017840885115</v>
      </c>
      <c r="X6" s="267">
        <f>J304*100</f>
        <v>38.825570142695454</v>
      </c>
    </row>
    <row r="7" spans="2:24" ht="12">
      <c r="B7" s="238">
        <v>37629</v>
      </c>
      <c r="C7" s="239">
        <v>4475</v>
      </c>
      <c r="D7" s="239">
        <v>6300</v>
      </c>
      <c r="E7" s="239">
        <v>3625</v>
      </c>
      <c r="F7" s="239">
        <v>19252</v>
      </c>
      <c r="G7" s="240">
        <v>14000</v>
      </c>
      <c r="H7" s="241"/>
      <c r="I7" s="245">
        <f t="shared" si="1"/>
        <v>0.1049382716049383</v>
      </c>
      <c r="J7" s="246">
        <f t="shared" si="0"/>
        <v>0.05882352941176472</v>
      </c>
      <c r="K7" s="246">
        <f t="shared" si="0"/>
        <v>0.058394160583941535</v>
      </c>
      <c r="L7" s="246">
        <f t="shared" si="0"/>
        <v>0.013156509841069308</v>
      </c>
      <c r="M7" s="247">
        <f t="shared" si="0"/>
        <v>0.03703703703703698</v>
      </c>
      <c r="O7" s="16" t="s">
        <v>54</v>
      </c>
      <c r="P7" s="117">
        <f>S4</f>
        <v>0.5294273656592271</v>
      </c>
      <c r="Q7" s="118">
        <f>S5</f>
        <v>0.5443964095495297</v>
      </c>
      <c r="R7" s="118">
        <f>S6</f>
        <v>0.536995966065141</v>
      </c>
      <c r="S7" s="118">
        <v>1</v>
      </c>
      <c r="T7" s="119">
        <f>CORREL($L$4:$L$298,M$4:M$298)</f>
        <v>0.35911588618441914</v>
      </c>
      <c r="V7" s="16" t="s">
        <v>53</v>
      </c>
      <c r="W7" s="266">
        <f>K303*100</f>
        <v>94.38209680572507</v>
      </c>
      <c r="X7" s="267">
        <f>K304*100</f>
        <v>50.39195839548547</v>
      </c>
    </row>
    <row r="8" spans="2:24" ht="12">
      <c r="B8" s="238">
        <v>37630</v>
      </c>
      <c r="C8" s="239">
        <v>4475</v>
      </c>
      <c r="D8" s="239">
        <v>6300</v>
      </c>
      <c r="E8" s="239">
        <v>3750</v>
      </c>
      <c r="F8" s="239">
        <v>19252</v>
      </c>
      <c r="G8" s="240">
        <v>14250</v>
      </c>
      <c r="H8" s="241"/>
      <c r="I8" s="245">
        <f t="shared" si="1"/>
        <v>0</v>
      </c>
      <c r="J8" s="246">
        <f t="shared" si="0"/>
        <v>0</v>
      </c>
      <c r="K8" s="246">
        <f t="shared" si="0"/>
        <v>0.034482758620689724</v>
      </c>
      <c r="L8" s="246">
        <f t="shared" si="0"/>
        <v>0</v>
      </c>
      <c r="M8" s="247">
        <f t="shared" si="0"/>
        <v>0.017857142857142794</v>
      </c>
      <c r="O8" s="17" t="s">
        <v>55</v>
      </c>
      <c r="P8" s="120">
        <f>T4</f>
        <v>0.519953804713474</v>
      </c>
      <c r="Q8" s="121">
        <f>T5</f>
        <v>0.5504368659882888</v>
      </c>
      <c r="R8" s="121">
        <f>T6</f>
        <v>0.49957871290824846</v>
      </c>
      <c r="S8" s="121">
        <f>T7</f>
        <v>0.35911588618441914</v>
      </c>
      <c r="T8" s="122">
        <v>1</v>
      </c>
      <c r="V8" s="16" t="s">
        <v>54</v>
      </c>
      <c r="W8" s="266">
        <f>L303*100</f>
        <v>60.35290435601743</v>
      </c>
      <c r="X8" s="267">
        <f>L304*100</f>
        <v>40.581118509455166</v>
      </c>
    </row>
    <row r="9" spans="2:24" ht="12">
      <c r="B9" s="238">
        <v>37631</v>
      </c>
      <c r="C9" s="239">
        <v>4475</v>
      </c>
      <c r="D9" s="239">
        <v>6300</v>
      </c>
      <c r="E9" s="239">
        <v>3750</v>
      </c>
      <c r="F9" s="239">
        <v>19002</v>
      </c>
      <c r="G9" s="240">
        <v>14250</v>
      </c>
      <c r="H9" s="241"/>
      <c r="I9" s="245">
        <f t="shared" si="1"/>
        <v>0</v>
      </c>
      <c r="J9" s="246">
        <f t="shared" si="0"/>
        <v>0</v>
      </c>
      <c r="K9" s="246">
        <f t="shared" si="0"/>
        <v>0</v>
      </c>
      <c r="L9" s="246">
        <f t="shared" si="0"/>
        <v>-0.012985663827134841</v>
      </c>
      <c r="M9" s="247">
        <f t="shared" si="0"/>
        <v>0</v>
      </c>
      <c r="V9" s="17" t="s">
        <v>55</v>
      </c>
      <c r="W9" s="268">
        <f>M303*100</f>
        <v>40.951630559739</v>
      </c>
      <c r="X9" s="269">
        <f>M304*100</f>
        <v>41.6310981603963</v>
      </c>
    </row>
    <row r="10" spans="2:24" ht="12">
      <c r="B10" s="238">
        <v>37634</v>
      </c>
      <c r="C10" s="239">
        <v>4650</v>
      </c>
      <c r="D10" s="239">
        <v>6475</v>
      </c>
      <c r="E10" s="239">
        <v>3900</v>
      </c>
      <c r="F10" s="239">
        <v>20002</v>
      </c>
      <c r="G10" s="240">
        <v>14500</v>
      </c>
      <c r="H10" s="241"/>
      <c r="I10" s="245">
        <f t="shared" si="1"/>
        <v>0.03910614525139655</v>
      </c>
      <c r="J10" s="246">
        <f t="shared" si="0"/>
        <v>0.02777777777777768</v>
      </c>
      <c r="K10" s="246">
        <f t="shared" si="0"/>
        <v>0.040000000000000036</v>
      </c>
      <c r="L10" s="246">
        <f t="shared" si="0"/>
        <v>0.052626039364277455</v>
      </c>
      <c r="M10" s="247">
        <f t="shared" si="0"/>
        <v>0.01754385964912286</v>
      </c>
      <c r="V10" s="294" t="s">
        <v>83</v>
      </c>
      <c r="W10" s="158">
        <f>AVERAGE(W5:W9)</f>
        <v>57.068400424683226</v>
      </c>
      <c r="X10" s="158">
        <f>AVERAGE(X5:X9)</f>
        <v>44.732719196754786</v>
      </c>
    </row>
    <row r="11" spans="2:24" ht="12">
      <c r="B11" s="238">
        <v>37635</v>
      </c>
      <c r="C11" s="239">
        <v>4575</v>
      </c>
      <c r="D11" s="239">
        <v>6225</v>
      </c>
      <c r="E11" s="239">
        <v>3700</v>
      </c>
      <c r="F11" s="239">
        <v>19502</v>
      </c>
      <c r="G11" s="240">
        <v>14750</v>
      </c>
      <c r="H11" s="241"/>
      <c r="I11" s="245">
        <f t="shared" si="1"/>
        <v>-0.016129032258064502</v>
      </c>
      <c r="J11" s="246">
        <f t="shared" si="0"/>
        <v>-0.038610038610038644</v>
      </c>
      <c r="K11" s="246">
        <f t="shared" si="0"/>
        <v>-0.05128205128205132</v>
      </c>
      <c r="L11" s="246">
        <f t="shared" si="0"/>
        <v>-0.024997500249975046</v>
      </c>
      <c r="M11" s="247">
        <f t="shared" si="0"/>
        <v>0.01724137931034475</v>
      </c>
      <c r="W11" s="18"/>
      <c r="X11" s="18"/>
    </row>
    <row r="12" spans="2:24" ht="12">
      <c r="B12" s="238">
        <v>37636</v>
      </c>
      <c r="C12" s="239">
        <v>4750</v>
      </c>
      <c r="D12" s="239">
        <v>6400</v>
      </c>
      <c r="E12" s="239">
        <v>3825</v>
      </c>
      <c r="F12" s="239">
        <v>19252</v>
      </c>
      <c r="G12" s="240">
        <v>14750</v>
      </c>
      <c r="H12" s="241"/>
      <c r="I12" s="245">
        <f t="shared" si="1"/>
        <v>0.03825136612021862</v>
      </c>
      <c r="J12" s="246">
        <f t="shared" si="0"/>
        <v>0.028112449799196693</v>
      </c>
      <c r="K12" s="246">
        <f t="shared" si="0"/>
        <v>0.03378378378378377</v>
      </c>
      <c r="L12" s="246">
        <f t="shared" si="0"/>
        <v>-0.012819198030971202</v>
      </c>
      <c r="M12" s="247">
        <f t="shared" si="0"/>
        <v>0</v>
      </c>
      <c r="W12" s="18"/>
      <c r="X12" s="18"/>
    </row>
    <row r="13" spans="2:13" ht="12">
      <c r="B13" s="238">
        <v>37637</v>
      </c>
      <c r="C13" s="239">
        <v>4925</v>
      </c>
      <c r="D13" s="239">
        <v>6400</v>
      </c>
      <c r="E13" s="239">
        <v>3900</v>
      </c>
      <c r="F13" s="239">
        <v>19752</v>
      </c>
      <c r="G13" s="240">
        <v>15000</v>
      </c>
      <c r="H13" s="241"/>
      <c r="I13" s="245">
        <f t="shared" si="1"/>
        <v>0.03684210526315779</v>
      </c>
      <c r="J13" s="246">
        <f t="shared" si="0"/>
        <v>0</v>
      </c>
      <c r="K13" s="246">
        <f t="shared" si="0"/>
        <v>0.019607843137254832</v>
      </c>
      <c r="L13" s="246">
        <f t="shared" si="0"/>
        <v>0.025971327654269682</v>
      </c>
      <c r="M13" s="247">
        <f t="shared" si="0"/>
        <v>0.016949152542372836</v>
      </c>
    </row>
    <row r="14" spans="2:13" ht="12">
      <c r="B14" s="238">
        <v>37638</v>
      </c>
      <c r="C14" s="239">
        <v>4825</v>
      </c>
      <c r="D14" s="239">
        <v>6300</v>
      </c>
      <c r="E14" s="239">
        <v>3975</v>
      </c>
      <c r="F14" s="239">
        <v>19502</v>
      </c>
      <c r="G14" s="240">
        <v>14750</v>
      </c>
      <c r="H14" s="241"/>
      <c r="I14" s="245">
        <f t="shared" si="1"/>
        <v>-0.02030456852791873</v>
      </c>
      <c r="J14" s="246">
        <f t="shared" si="0"/>
        <v>-0.015625</v>
      </c>
      <c r="K14" s="246">
        <f t="shared" si="0"/>
        <v>0.019230769230769162</v>
      </c>
      <c r="L14" s="246">
        <f t="shared" si="0"/>
        <v>-0.012656946132037272</v>
      </c>
      <c r="M14" s="247">
        <f t="shared" si="0"/>
        <v>-0.01666666666666672</v>
      </c>
    </row>
    <row r="15" spans="2:27" ht="12">
      <c r="B15" s="238">
        <v>37641</v>
      </c>
      <c r="C15" s="239">
        <v>5100</v>
      </c>
      <c r="D15" s="239">
        <v>6475</v>
      </c>
      <c r="E15" s="239">
        <v>3900</v>
      </c>
      <c r="F15" s="239">
        <v>19752</v>
      </c>
      <c r="G15" s="240">
        <v>15000</v>
      </c>
      <c r="H15" s="241"/>
      <c r="I15" s="245">
        <f t="shared" si="1"/>
        <v>0.05699481865284972</v>
      </c>
      <c r="J15" s="246">
        <f t="shared" si="0"/>
        <v>0.02777777777777768</v>
      </c>
      <c r="K15" s="246">
        <f t="shared" si="0"/>
        <v>-0.018867924528301883</v>
      </c>
      <c r="L15" s="246">
        <f t="shared" si="0"/>
        <v>0.01281919803097109</v>
      </c>
      <c r="M15" s="247">
        <f t="shared" si="0"/>
        <v>0.016949152542372836</v>
      </c>
      <c r="V15" s="113"/>
      <c r="W15" s="126"/>
      <c r="X15" s="127"/>
      <c r="Y15" s="128" t="s">
        <v>59</v>
      </c>
      <c r="Z15" s="127"/>
      <c r="AA15" s="129"/>
    </row>
    <row r="16" spans="2:30" ht="12">
      <c r="B16" s="238">
        <v>37642</v>
      </c>
      <c r="C16" s="239">
        <v>4925</v>
      </c>
      <c r="D16" s="239">
        <v>6400</v>
      </c>
      <c r="E16" s="239">
        <v>4025</v>
      </c>
      <c r="F16" s="239">
        <v>20002</v>
      </c>
      <c r="G16" s="240">
        <v>15000</v>
      </c>
      <c r="H16" s="241"/>
      <c r="I16" s="245">
        <f t="shared" si="1"/>
        <v>-0.03431372549019607</v>
      </c>
      <c r="J16" s="246">
        <f t="shared" si="0"/>
        <v>-0.01158301158301156</v>
      </c>
      <c r="K16" s="246">
        <f t="shared" si="0"/>
        <v>0.03205128205128216</v>
      </c>
      <c r="L16" s="246">
        <f t="shared" si="0"/>
        <v>0.012656946132037161</v>
      </c>
      <c r="M16" s="247">
        <f t="shared" si="0"/>
        <v>0</v>
      </c>
      <c r="V16" s="130"/>
      <c r="W16" s="273" t="s">
        <v>60</v>
      </c>
      <c r="X16" s="274" t="s">
        <v>61</v>
      </c>
      <c r="Y16" s="274" t="s">
        <v>22</v>
      </c>
      <c r="Z16" s="274" t="s">
        <v>23</v>
      </c>
      <c r="AA16" s="275" t="s">
        <v>24</v>
      </c>
      <c r="AB16" s="19"/>
      <c r="AC16" s="19"/>
      <c r="AD16" s="19"/>
    </row>
    <row r="17" spans="2:30" ht="12">
      <c r="B17" s="238">
        <v>37643</v>
      </c>
      <c r="C17" s="239">
        <v>5000</v>
      </c>
      <c r="D17" s="239">
        <v>6400</v>
      </c>
      <c r="E17" s="239">
        <v>4025</v>
      </c>
      <c r="F17" s="239">
        <v>19252</v>
      </c>
      <c r="G17" s="240">
        <v>14750</v>
      </c>
      <c r="H17" s="241"/>
      <c r="I17" s="245">
        <f t="shared" si="1"/>
        <v>0.015228426395939021</v>
      </c>
      <c r="J17" s="246">
        <f t="shared" si="0"/>
        <v>0</v>
      </c>
      <c r="K17" s="246">
        <f t="shared" si="0"/>
        <v>0</v>
      </c>
      <c r="L17" s="246">
        <f t="shared" si="0"/>
        <v>-0.037496250374962514</v>
      </c>
      <c r="M17" s="247">
        <f t="shared" si="0"/>
        <v>-0.01666666666666672</v>
      </c>
      <c r="V17" s="270" t="s">
        <v>60</v>
      </c>
      <c r="W17" s="131">
        <v>1</v>
      </c>
      <c r="X17" s="132">
        <v>0.6219958067392285</v>
      </c>
      <c r="Y17" s="132">
        <v>0.7827582015533694</v>
      </c>
      <c r="Z17" s="132">
        <v>0.635836969952442</v>
      </c>
      <c r="AA17" s="133">
        <v>0.041373035265777895</v>
      </c>
      <c r="AB17" s="20"/>
      <c r="AC17" s="20"/>
      <c r="AD17" s="20"/>
    </row>
    <row r="18" spans="2:30" ht="12">
      <c r="B18" s="238">
        <v>37644</v>
      </c>
      <c r="C18" s="239">
        <v>5100</v>
      </c>
      <c r="D18" s="239">
        <v>6575</v>
      </c>
      <c r="E18" s="239">
        <v>4175</v>
      </c>
      <c r="F18" s="239">
        <v>19502</v>
      </c>
      <c r="G18" s="240">
        <v>15000</v>
      </c>
      <c r="H18" s="241"/>
      <c r="I18" s="245">
        <f t="shared" si="1"/>
        <v>0.020000000000000018</v>
      </c>
      <c r="J18" s="246">
        <f t="shared" si="0"/>
        <v>0.02734375</v>
      </c>
      <c r="K18" s="246">
        <f t="shared" si="0"/>
        <v>0.037267080745341685</v>
      </c>
      <c r="L18" s="246">
        <f t="shared" si="0"/>
        <v>0.012985663827134841</v>
      </c>
      <c r="M18" s="247">
        <f t="shared" si="0"/>
        <v>0.016949152542372836</v>
      </c>
      <c r="V18" s="271" t="s">
        <v>61</v>
      </c>
      <c r="W18" s="134">
        <v>0.6219958067392285</v>
      </c>
      <c r="X18" s="135">
        <v>1</v>
      </c>
      <c r="Y18" s="135">
        <v>0.613971382891144</v>
      </c>
      <c r="Z18" s="135">
        <v>0.48561856888992694</v>
      </c>
      <c r="AA18" s="136">
        <v>-0.00011920862283919195</v>
      </c>
      <c r="AB18" s="20"/>
      <c r="AC18" s="20"/>
      <c r="AD18" s="20"/>
    </row>
    <row r="19" spans="2:30" ht="12">
      <c r="B19" s="238">
        <v>37645</v>
      </c>
      <c r="C19" s="239">
        <v>5200</v>
      </c>
      <c r="D19" s="239">
        <v>6475</v>
      </c>
      <c r="E19" s="239">
        <v>4175</v>
      </c>
      <c r="F19" s="239">
        <v>19002</v>
      </c>
      <c r="G19" s="240">
        <v>15000</v>
      </c>
      <c r="H19" s="241"/>
      <c r="I19" s="245">
        <f t="shared" si="1"/>
        <v>0.019607843137254832</v>
      </c>
      <c r="J19" s="246">
        <f t="shared" si="0"/>
        <v>-0.01520912547528519</v>
      </c>
      <c r="K19" s="246">
        <f t="shared" si="0"/>
        <v>0</v>
      </c>
      <c r="L19" s="246">
        <f t="shared" si="0"/>
        <v>-0.025638396061942403</v>
      </c>
      <c r="M19" s="247">
        <f t="shared" si="0"/>
        <v>0</v>
      </c>
      <c r="V19" s="271" t="s">
        <v>22</v>
      </c>
      <c r="W19" s="134">
        <v>0.7827582015533694</v>
      </c>
      <c r="X19" s="135">
        <v>0.613971382891144</v>
      </c>
      <c r="Y19" s="135">
        <v>1</v>
      </c>
      <c r="Z19" s="135">
        <v>0.6104413425644425</v>
      </c>
      <c r="AA19" s="136">
        <v>0.048700251292503834</v>
      </c>
      <c r="AB19" s="20"/>
      <c r="AC19" s="20"/>
      <c r="AD19" s="20"/>
    </row>
    <row r="20" spans="2:30" ht="12">
      <c r="B20" s="238">
        <v>37648</v>
      </c>
      <c r="C20" s="239">
        <v>5100</v>
      </c>
      <c r="D20" s="239">
        <v>6400</v>
      </c>
      <c r="E20" s="239">
        <v>4175</v>
      </c>
      <c r="F20" s="239">
        <v>19252</v>
      </c>
      <c r="G20" s="240">
        <v>15000</v>
      </c>
      <c r="H20" s="241"/>
      <c r="I20" s="245">
        <f t="shared" si="1"/>
        <v>-0.019230769230769273</v>
      </c>
      <c r="J20" s="246">
        <f aca="true" t="shared" si="2" ref="J20:J83">D20/D19-1</f>
        <v>-0.01158301158301156</v>
      </c>
      <c r="K20" s="246">
        <f aca="true" t="shared" si="3" ref="K20:K83">E20/E19-1</f>
        <v>0</v>
      </c>
      <c r="L20" s="246">
        <f aca="true" t="shared" si="4" ref="L20:L83">F20/F19-1</f>
        <v>0.013156509841069308</v>
      </c>
      <c r="M20" s="247">
        <f aca="true" t="shared" si="5" ref="M20:M83">G20/G19-1</f>
        <v>0</v>
      </c>
      <c r="V20" s="271" t="s">
        <v>23</v>
      </c>
      <c r="W20" s="134">
        <v>0.635836969952442</v>
      </c>
      <c r="X20" s="135">
        <v>0.48561856888992694</v>
      </c>
      <c r="Y20" s="135">
        <v>0.6104413425644425</v>
      </c>
      <c r="Z20" s="135">
        <v>1</v>
      </c>
      <c r="AA20" s="136">
        <v>0.03633297071123466</v>
      </c>
      <c r="AB20" s="20"/>
      <c r="AC20" s="20"/>
      <c r="AD20" s="20"/>
    </row>
    <row r="21" spans="2:30" ht="12">
      <c r="B21" s="238">
        <v>37649</v>
      </c>
      <c r="C21" s="239">
        <v>5100</v>
      </c>
      <c r="D21" s="239">
        <v>6125</v>
      </c>
      <c r="E21" s="239">
        <v>4100</v>
      </c>
      <c r="F21" s="239">
        <v>19252</v>
      </c>
      <c r="G21" s="240">
        <v>14750</v>
      </c>
      <c r="H21" s="241"/>
      <c r="I21" s="245">
        <f t="shared" si="1"/>
        <v>0</v>
      </c>
      <c r="J21" s="246">
        <f t="shared" si="2"/>
        <v>-0.04296875</v>
      </c>
      <c r="K21" s="246">
        <f t="shared" si="3"/>
        <v>-0.017964071856287456</v>
      </c>
      <c r="L21" s="246">
        <f t="shared" si="4"/>
        <v>0</v>
      </c>
      <c r="M21" s="247">
        <f t="shared" si="5"/>
        <v>-0.01666666666666672</v>
      </c>
      <c r="V21" s="272" t="s">
        <v>24</v>
      </c>
      <c r="W21" s="137">
        <v>0.041373035265777895</v>
      </c>
      <c r="X21" s="138">
        <v>-0.00011920862283919195</v>
      </c>
      <c r="Y21" s="138">
        <v>0.048700251292503834</v>
      </c>
      <c r="Z21" s="138">
        <v>0.03633297071123466</v>
      </c>
      <c r="AA21" s="139">
        <v>1</v>
      </c>
      <c r="AB21" s="20"/>
      <c r="AC21" s="20"/>
      <c r="AD21" s="20"/>
    </row>
    <row r="22" spans="2:30" ht="12">
      <c r="B22" s="238">
        <v>37650</v>
      </c>
      <c r="C22" s="239">
        <v>5200</v>
      </c>
      <c r="D22" s="239">
        <v>6125</v>
      </c>
      <c r="E22" s="239">
        <v>4175</v>
      </c>
      <c r="F22" s="239">
        <v>19752</v>
      </c>
      <c r="G22" s="240">
        <v>14750</v>
      </c>
      <c r="H22" s="241"/>
      <c r="I22" s="245">
        <f t="shared" si="1"/>
        <v>0.019607843137254832</v>
      </c>
      <c r="J22" s="246">
        <f t="shared" si="2"/>
        <v>0</v>
      </c>
      <c r="K22" s="246">
        <f t="shared" si="3"/>
        <v>0.018292682926829285</v>
      </c>
      <c r="L22" s="246">
        <f t="shared" si="4"/>
        <v>0.025971327654269682</v>
      </c>
      <c r="M22" s="247">
        <f t="shared" si="5"/>
        <v>0</v>
      </c>
      <c r="V22" s="140"/>
      <c r="W22" s="141"/>
      <c r="X22" s="141"/>
      <c r="Y22" s="141"/>
      <c r="Z22" s="141"/>
      <c r="AA22" s="141"/>
      <c r="AB22" s="20"/>
      <c r="AC22" s="20"/>
      <c r="AD22" s="20"/>
    </row>
    <row r="23" spans="2:30" ht="12">
      <c r="B23" s="238">
        <v>37651</v>
      </c>
      <c r="C23" s="239">
        <v>5100</v>
      </c>
      <c r="D23" s="239">
        <v>6300</v>
      </c>
      <c r="E23" s="239">
        <v>4175</v>
      </c>
      <c r="F23" s="239">
        <v>20752</v>
      </c>
      <c r="G23" s="240">
        <v>15000</v>
      </c>
      <c r="H23" s="241"/>
      <c r="I23" s="245">
        <f t="shared" si="1"/>
        <v>-0.019230769230769273</v>
      </c>
      <c r="J23" s="246">
        <f t="shared" si="2"/>
        <v>0.02857142857142847</v>
      </c>
      <c r="K23" s="246">
        <f t="shared" si="3"/>
        <v>0</v>
      </c>
      <c r="L23" s="246">
        <f t="shared" si="4"/>
        <v>0.05062778452814909</v>
      </c>
      <c r="M23" s="247">
        <f t="shared" si="5"/>
        <v>0.016949152542372836</v>
      </c>
      <c r="V23" s="140"/>
      <c r="W23" s="141"/>
      <c r="X23" s="141"/>
      <c r="Y23" s="141"/>
      <c r="Z23" s="141"/>
      <c r="AA23" s="141"/>
      <c r="AB23" s="20"/>
      <c r="AC23" s="20"/>
      <c r="AD23" s="20"/>
    </row>
    <row r="24" spans="2:30" ht="12">
      <c r="B24" s="238">
        <v>37652</v>
      </c>
      <c r="C24" s="239">
        <v>5100</v>
      </c>
      <c r="D24" s="239">
        <v>6300</v>
      </c>
      <c r="E24" s="239">
        <v>4175</v>
      </c>
      <c r="F24" s="239">
        <v>22002</v>
      </c>
      <c r="G24" s="240">
        <v>15000</v>
      </c>
      <c r="H24" s="241"/>
      <c r="I24" s="245">
        <f t="shared" si="1"/>
        <v>0</v>
      </c>
      <c r="J24" s="246">
        <f t="shared" si="2"/>
        <v>0</v>
      </c>
      <c r="K24" s="246">
        <f t="shared" si="3"/>
        <v>0</v>
      </c>
      <c r="L24" s="246">
        <f t="shared" si="4"/>
        <v>0.060235158057054816</v>
      </c>
      <c r="M24" s="247">
        <f t="shared" si="5"/>
        <v>0</v>
      </c>
      <c r="V24" s="140"/>
      <c r="W24" s="141"/>
      <c r="X24" s="141"/>
      <c r="Y24" s="141"/>
      <c r="Z24" s="141"/>
      <c r="AA24" s="141"/>
      <c r="AB24" s="20"/>
      <c r="AC24" s="20"/>
      <c r="AD24" s="20"/>
    </row>
    <row r="25" spans="2:27" ht="12">
      <c r="B25" s="238">
        <v>37655</v>
      </c>
      <c r="C25" s="239">
        <v>5100</v>
      </c>
      <c r="D25" s="239">
        <v>6300</v>
      </c>
      <c r="E25" s="239">
        <v>4175</v>
      </c>
      <c r="F25" s="239">
        <v>21252</v>
      </c>
      <c r="G25" s="240">
        <v>15000</v>
      </c>
      <c r="H25" s="241"/>
      <c r="I25" s="245">
        <f t="shared" si="1"/>
        <v>0</v>
      </c>
      <c r="J25" s="246">
        <f t="shared" si="2"/>
        <v>0</v>
      </c>
      <c r="K25" s="246">
        <f t="shared" si="3"/>
        <v>0</v>
      </c>
      <c r="L25" s="246">
        <f t="shared" si="4"/>
        <v>-0.03408781019907281</v>
      </c>
      <c r="M25" s="247">
        <f t="shared" si="5"/>
        <v>0</v>
      </c>
      <c r="V25" s="113"/>
      <c r="W25" s="113"/>
      <c r="X25" s="113"/>
      <c r="Y25" s="113"/>
      <c r="Z25" s="113"/>
      <c r="AA25" s="113"/>
    </row>
    <row r="26" spans="2:27" ht="12">
      <c r="B26" s="238">
        <v>37656</v>
      </c>
      <c r="C26" s="239">
        <v>4825</v>
      </c>
      <c r="D26" s="239">
        <v>5950</v>
      </c>
      <c r="E26" s="239">
        <v>3900</v>
      </c>
      <c r="F26" s="239">
        <v>20502</v>
      </c>
      <c r="G26" s="240">
        <v>14750</v>
      </c>
      <c r="H26" s="241"/>
      <c r="I26" s="245">
        <f t="shared" si="1"/>
        <v>-0.05392156862745101</v>
      </c>
      <c r="J26" s="246">
        <f t="shared" si="2"/>
        <v>-0.05555555555555558</v>
      </c>
      <c r="K26" s="246">
        <f t="shared" si="3"/>
        <v>-0.06586826347305386</v>
      </c>
      <c r="L26" s="246">
        <f t="shared" si="4"/>
        <v>-0.03529079616036135</v>
      </c>
      <c r="M26" s="247">
        <f t="shared" si="5"/>
        <v>-0.01666666666666672</v>
      </c>
      <c r="V26" s="113"/>
      <c r="W26" s="126"/>
      <c r="X26" s="127"/>
      <c r="Y26" s="128" t="s">
        <v>62</v>
      </c>
      <c r="Z26" s="127"/>
      <c r="AA26" s="129"/>
    </row>
    <row r="27" spans="2:30" ht="12">
      <c r="B27" s="238">
        <v>37657</v>
      </c>
      <c r="C27" s="239">
        <v>4750</v>
      </c>
      <c r="D27" s="239">
        <v>6050</v>
      </c>
      <c r="E27" s="239">
        <v>3975</v>
      </c>
      <c r="F27" s="239">
        <v>21002</v>
      </c>
      <c r="G27" s="240">
        <v>14500</v>
      </c>
      <c r="H27" s="241"/>
      <c r="I27" s="245">
        <f t="shared" si="1"/>
        <v>-0.015544041450777257</v>
      </c>
      <c r="J27" s="246">
        <f t="shared" si="2"/>
        <v>0.01680672268907557</v>
      </c>
      <c r="K27" s="246">
        <f t="shared" si="3"/>
        <v>0.019230769230769162</v>
      </c>
      <c r="L27" s="246">
        <f t="shared" si="4"/>
        <v>0.02438786459857578</v>
      </c>
      <c r="M27" s="247">
        <f t="shared" si="5"/>
        <v>-0.016949152542372836</v>
      </c>
      <c r="V27" s="113"/>
      <c r="W27" s="273" t="str">
        <f>V5</f>
        <v>ARCLK.IS</v>
      </c>
      <c r="X27" s="274" t="str">
        <f>V6</f>
        <v>AKENR.IS</v>
      </c>
      <c r="Y27" s="274" t="str">
        <f>V7</f>
        <v>AKBNK.IS</v>
      </c>
      <c r="Z27" s="274" t="str">
        <f>V8</f>
        <v>ENKAI.IS</v>
      </c>
      <c r="AA27" s="275" t="str">
        <f>V9</f>
        <v>KUTPO.IS</v>
      </c>
      <c r="AB27" s="19"/>
      <c r="AC27" s="19"/>
      <c r="AD27" s="19"/>
    </row>
    <row r="28" spans="2:30" ht="12">
      <c r="B28" s="238">
        <v>37658</v>
      </c>
      <c r="C28" s="239">
        <v>4925</v>
      </c>
      <c r="D28" s="239">
        <v>6125</v>
      </c>
      <c r="E28" s="239">
        <v>3975</v>
      </c>
      <c r="F28" s="239">
        <v>21502</v>
      </c>
      <c r="G28" s="240">
        <v>14750</v>
      </c>
      <c r="H28" s="241"/>
      <c r="I28" s="245">
        <f t="shared" si="1"/>
        <v>0.03684210526315779</v>
      </c>
      <c r="J28" s="246">
        <f t="shared" si="2"/>
        <v>0.012396694214876103</v>
      </c>
      <c r="K28" s="246">
        <f t="shared" si="3"/>
        <v>0</v>
      </c>
      <c r="L28" s="246">
        <f t="shared" si="4"/>
        <v>0.0238072564517664</v>
      </c>
      <c r="M28" s="247">
        <f t="shared" si="5"/>
        <v>0.01724137931034475</v>
      </c>
      <c r="V28" s="276" t="str">
        <f>V5</f>
        <v>ARCLK.IS</v>
      </c>
      <c r="W28" s="142">
        <f>W17*X5*X5</f>
        <v>2728.3751668624377</v>
      </c>
      <c r="X28" s="143">
        <f>X17*X5*X6</f>
        <v>1261.4131171158115</v>
      </c>
      <c r="Y28" s="143">
        <f>Y17*X5*X7</f>
        <v>2060.3495518460027</v>
      </c>
      <c r="Z28" s="143">
        <f>Z17*X5*X8</f>
        <v>1347.7887681981365</v>
      </c>
      <c r="AA28" s="144">
        <f>AA17*X5*X9</f>
        <v>89.96784012205866</v>
      </c>
      <c r="AB28" s="21"/>
      <c r="AC28" s="21"/>
      <c r="AD28" s="21"/>
    </row>
    <row r="29" spans="2:30" ht="12">
      <c r="B29" s="238">
        <v>37659</v>
      </c>
      <c r="C29" s="239">
        <v>5100</v>
      </c>
      <c r="D29" s="239">
        <v>6125</v>
      </c>
      <c r="E29" s="239">
        <v>4100</v>
      </c>
      <c r="F29" s="239">
        <v>21252</v>
      </c>
      <c r="G29" s="240">
        <v>15250</v>
      </c>
      <c r="H29" s="241"/>
      <c r="I29" s="245">
        <f t="shared" si="1"/>
        <v>0.035532994923857864</v>
      </c>
      <c r="J29" s="246">
        <f t="shared" si="2"/>
        <v>0</v>
      </c>
      <c r="K29" s="246">
        <f t="shared" si="3"/>
        <v>0.03144654088050314</v>
      </c>
      <c r="L29" s="246">
        <f t="shared" si="4"/>
        <v>-0.011626825411589659</v>
      </c>
      <c r="M29" s="247">
        <f t="shared" si="5"/>
        <v>0.03389830508474567</v>
      </c>
      <c r="V29" s="277" t="str">
        <f>V6</f>
        <v>AKENR.IS</v>
      </c>
      <c r="W29" s="145">
        <f>W18*X6*X5</f>
        <v>1261.4131171158112</v>
      </c>
      <c r="X29" s="146">
        <f>X18*X6*X6</f>
        <v>1507.4248969053647</v>
      </c>
      <c r="Y29" s="146">
        <f>Y18*X6*X7</f>
        <v>1201.2328711276361</v>
      </c>
      <c r="Z29" s="146">
        <f>Z18*X6*X8</f>
        <v>765.133363535079</v>
      </c>
      <c r="AA29" s="147">
        <f>AA18*X6*X9</f>
        <v>-0.19268299124767416</v>
      </c>
      <c r="AB29" s="21"/>
      <c r="AC29" s="21"/>
      <c r="AD29" s="21"/>
    </row>
    <row r="30" spans="2:30" ht="12">
      <c r="B30" s="238">
        <v>37669</v>
      </c>
      <c r="C30" s="239">
        <v>5100</v>
      </c>
      <c r="D30" s="239">
        <v>6300</v>
      </c>
      <c r="E30" s="239">
        <v>4175</v>
      </c>
      <c r="F30" s="239">
        <v>21752</v>
      </c>
      <c r="G30" s="240">
        <v>16500</v>
      </c>
      <c r="H30" s="241"/>
      <c r="I30" s="245">
        <f t="shared" si="1"/>
        <v>0</v>
      </c>
      <c r="J30" s="246">
        <f t="shared" si="2"/>
        <v>0.02857142857142847</v>
      </c>
      <c r="K30" s="246">
        <f t="shared" si="3"/>
        <v>0.018292682926829285</v>
      </c>
      <c r="L30" s="246">
        <f t="shared" si="4"/>
        <v>0.0235271974402409</v>
      </c>
      <c r="M30" s="247">
        <f t="shared" si="5"/>
        <v>0.08196721311475419</v>
      </c>
      <c r="V30" s="277" t="str">
        <f>V7</f>
        <v>AKBNK.IS</v>
      </c>
      <c r="W30" s="145">
        <f>W19*X7*X5</f>
        <v>2060.349551846003</v>
      </c>
      <c r="X30" s="146">
        <f>X19*X7*X6</f>
        <v>1201.232871127636</v>
      </c>
      <c r="Y30" s="146">
        <f>Y19*X7*X7</f>
        <v>2539.349470932338</v>
      </c>
      <c r="Z30" s="146">
        <f>Z19*X7*X8</f>
        <v>1248.3293704871116</v>
      </c>
      <c r="AA30" s="147">
        <f>AA19*X7*X9</f>
        <v>102.16692116610886</v>
      </c>
      <c r="AB30" s="21"/>
      <c r="AC30" s="21"/>
      <c r="AD30" s="21"/>
    </row>
    <row r="31" spans="2:30" ht="12">
      <c r="B31" s="238">
        <v>37670</v>
      </c>
      <c r="C31" s="239">
        <v>5200</v>
      </c>
      <c r="D31" s="239">
        <v>6575</v>
      </c>
      <c r="E31" s="239">
        <v>4300</v>
      </c>
      <c r="F31" s="239">
        <v>22502</v>
      </c>
      <c r="G31" s="240">
        <v>16750</v>
      </c>
      <c r="H31" s="241"/>
      <c r="I31" s="245">
        <f t="shared" si="1"/>
        <v>0.019607843137254832</v>
      </c>
      <c r="J31" s="246">
        <f t="shared" si="2"/>
        <v>0.04365079365079372</v>
      </c>
      <c r="K31" s="246">
        <f t="shared" si="3"/>
        <v>0.029940119760478945</v>
      </c>
      <c r="L31" s="246">
        <f t="shared" si="4"/>
        <v>0.03447958808385443</v>
      </c>
      <c r="M31" s="247">
        <f t="shared" si="5"/>
        <v>0.015151515151515138</v>
      </c>
      <c r="V31" s="277" t="str">
        <f>V8</f>
        <v>ENKAI.IS</v>
      </c>
      <c r="W31" s="145">
        <f>W20*X8*X5</f>
        <v>1347.7887681981363</v>
      </c>
      <c r="X31" s="146">
        <f>X20*X8*X6</f>
        <v>765.1333635350788</v>
      </c>
      <c r="Y31" s="146">
        <f>Y20*X8*X7</f>
        <v>1248.3293704871116</v>
      </c>
      <c r="Z31" s="146">
        <f>Z20*X8*X8</f>
        <v>1646.8271794784446</v>
      </c>
      <c r="AA31" s="147">
        <f>AA20*X8*X9</f>
        <v>61.382247894884785</v>
      </c>
      <c r="AB31" s="21"/>
      <c r="AC31" s="21"/>
      <c r="AD31" s="21"/>
    </row>
    <row r="32" spans="2:30" ht="12">
      <c r="B32" s="238">
        <v>37671</v>
      </c>
      <c r="C32" s="239">
        <v>5000</v>
      </c>
      <c r="D32" s="239">
        <v>6575</v>
      </c>
      <c r="E32" s="239">
        <v>4225</v>
      </c>
      <c r="F32" s="239">
        <v>22002</v>
      </c>
      <c r="G32" s="240">
        <v>15750</v>
      </c>
      <c r="H32" s="241"/>
      <c r="I32" s="245">
        <f t="shared" si="1"/>
        <v>-0.038461538461538436</v>
      </c>
      <c r="J32" s="246">
        <f t="shared" si="2"/>
        <v>0</v>
      </c>
      <c r="K32" s="246">
        <f t="shared" si="3"/>
        <v>-0.01744186046511631</v>
      </c>
      <c r="L32" s="246">
        <f t="shared" si="4"/>
        <v>-0.022220247089147604</v>
      </c>
      <c r="M32" s="247">
        <f t="shared" si="5"/>
        <v>-0.05970149253731338</v>
      </c>
      <c r="V32" s="278" t="str">
        <f>V9</f>
        <v>KUTPO.IS</v>
      </c>
      <c r="W32" s="148">
        <f>W21*X9*X5</f>
        <v>89.96784012205866</v>
      </c>
      <c r="X32" s="149">
        <f>X21*X9*X6</f>
        <v>-0.19268299124767413</v>
      </c>
      <c r="Y32" s="149">
        <f>Y21*X9*X7</f>
        <v>102.16692116610886</v>
      </c>
      <c r="Z32" s="149">
        <f>Z21*X9*X8</f>
        <v>61.38224789488478</v>
      </c>
      <c r="AA32" s="150">
        <f>AA21*X9*X9</f>
        <v>1733.148334040552</v>
      </c>
      <c r="AB32" s="21"/>
      <c r="AC32" s="21"/>
      <c r="AD32" s="21"/>
    </row>
    <row r="33" spans="2:30" ht="12">
      <c r="B33" s="238">
        <v>37672</v>
      </c>
      <c r="C33" s="239">
        <v>5275</v>
      </c>
      <c r="D33" s="239">
        <v>6750</v>
      </c>
      <c r="E33" s="239">
        <v>4225</v>
      </c>
      <c r="F33" s="239">
        <v>22752</v>
      </c>
      <c r="G33" s="240">
        <v>16000</v>
      </c>
      <c r="H33" s="241"/>
      <c r="I33" s="245">
        <f t="shared" si="1"/>
        <v>0.05499999999999994</v>
      </c>
      <c r="J33" s="246">
        <f t="shared" si="2"/>
        <v>0.026615969581748944</v>
      </c>
      <c r="K33" s="246">
        <f t="shared" si="3"/>
        <v>0</v>
      </c>
      <c r="L33" s="246">
        <f t="shared" si="4"/>
        <v>0.03408781019907292</v>
      </c>
      <c r="M33" s="247">
        <f t="shared" si="5"/>
        <v>0.015873015873015817</v>
      </c>
      <c r="V33" s="113"/>
      <c r="W33" s="151"/>
      <c r="X33" s="151"/>
      <c r="Y33" s="151"/>
      <c r="Z33" s="151"/>
      <c r="AA33" s="151"/>
      <c r="AB33" s="21"/>
      <c r="AC33" s="21"/>
      <c r="AD33" s="21"/>
    </row>
    <row r="34" spans="2:30" ht="12">
      <c r="B34" s="238">
        <v>37673</v>
      </c>
      <c r="C34" s="239">
        <v>5100</v>
      </c>
      <c r="D34" s="239">
        <v>6850</v>
      </c>
      <c r="E34" s="239">
        <v>4225</v>
      </c>
      <c r="F34" s="239">
        <v>22752</v>
      </c>
      <c r="G34" s="240">
        <v>16000</v>
      </c>
      <c r="H34" s="241"/>
      <c r="I34" s="245">
        <f t="shared" si="1"/>
        <v>-0.033175355450236976</v>
      </c>
      <c r="J34" s="246">
        <f t="shared" si="2"/>
        <v>0.014814814814814836</v>
      </c>
      <c r="K34" s="246">
        <f t="shared" si="3"/>
        <v>0</v>
      </c>
      <c r="L34" s="246">
        <f t="shared" si="4"/>
        <v>0</v>
      </c>
      <c r="M34" s="247">
        <f t="shared" si="5"/>
        <v>0</v>
      </c>
      <c r="V34" s="113"/>
      <c r="W34" s="151"/>
      <c r="X34" s="151"/>
      <c r="Y34" s="151"/>
      <c r="Z34" s="151"/>
      <c r="AA34" s="151"/>
      <c r="AB34" s="21"/>
      <c r="AC34" s="21"/>
      <c r="AD34" s="21"/>
    </row>
    <row r="35" spans="2:30" ht="12">
      <c r="B35" s="238">
        <v>37676</v>
      </c>
      <c r="C35" s="239">
        <v>5000</v>
      </c>
      <c r="D35" s="239">
        <v>6675</v>
      </c>
      <c r="E35" s="239">
        <v>4100</v>
      </c>
      <c r="F35" s="239">
        <v>22252</v>
      </c>
      <c r="G35" s="240">
        <v>15750</v>
      </c>
      <c r="H35" s="241"/>
      <c r="I35" s="245">
        <f t="shared" si="1"/>
        <v>-0.019607843137254943</v>
      </c>
      <c r="J35" s="246">
        <f t="shared" si="2"/>
        <v>-0.025547445255474477</v>
      </c>
      <c r="K35" s="246">
        <f t="shared" si="3"/>
        <v>-0.029585798816568087</v>
      </c>
      <c r="L35" s="246">
        <f t="shared" si="4"/>
        <v>-0.021976090014064753</v>
      </c>
      <c r="M35" s="247">
        <f t="shared" si="5"/>
        <v>-0.015625</v>
      </c>
      <c r="V35" s="113"/>
      <c r="W35" s="151"/>
      <c r="X35" s="151"/>
      <c r="Y35" s="151"/>
      <c r="Z35" s="151"/>
      <c r="AA35" s="151"/>
      <c r="AB35" s="21"/>
      <c r="AC35" s="21"/>
      <c r="AD35" s="21"/>
    </row>
    <row r="36" spans="2:27" ht="12">
      <c r="B36" s="238">
        <v>37677</v>
      </c>
      <c r="C36" s="239">
        <v>4925</v>
      </c>
      <c r="D36" s="239">
        <v>6475</v>
      </c>
      <c r="E36" s="239">
        <v>4025</v>
      </c>
      <c r="F36" s="239">
        <v>22002</v>
      </c>
      <c r="G36" s="240">
        <v>15500</v>
      </c>
      <c r="H36" s="241"/>
      <c r="I36" s="245">
        <f t="shared" si="1"/>
        <v>-0.015000000000000013</v>
      </c>
      <c r="J36" s="246">
        <f t="shared" si="2"/>
        <v>-0.029962546816479363</v>
      </c>
      <c r="K36" s="246">
        <f t="shared" si="3"/>
        <v>-0.018292682926829285</v>
      </c>
      <c r="L36" s="246">
        <f t="shared" si="4"/>
        <v>-0.01123494517346757</v>
      </c>
      <c r="M36" s="247">
        <f t="shared" si="5"/>
        <v>-0.015873015873015928</v>
      </c>
      <c r="V36" s="113"/>
      <c r="W36" s="113"/>
      <c r="X36" s="113"/>
      <c r="Y36" s="113"/>
      <c r="Z36" s="113"/>
      <c r="AA36" s="113"/>
    </row>
    <row r="37" spans="2:27" ht="12">
      <c r="B37" s="238">
        <v>37678</v>
      </c>
      <c r="C37" s="239">
        <v>4925</v>
      </c>
      <c r="D37" s="239">
        <v>6400</v>
      </c>
      <c r="E37" s="239">
        <v>4100</v>
      </c>
      <c r="F37" s="239">
        <v>22002</v>
      </c>
      <c r="G37" s="240">
        <v>15500</v>
      </c>
      <c r="H37" s="241"/>
      <c r="I37" s="245">
        <f t="shared" si="1"/>
        <v>0</v>
      </c>
      <c r="J37" s="246">
        <f t="shared" si="2"/>
        <v>-0.01158301158301156</v>
      </c>
      <c r="K37" s="246">
        <f t="shared" si="3"/>
        <v>0.01863354037267073</v>
      </c>
      <c r="L37" s="246">
        <f t="shared" si="4"/>
        <v>0</v>
      </c>
      <c r="M37" s="247">
        <f t="shared" si="5"/>
        <v>0</v>
      </c>
      <c r="V37" s="113"/>
      <c r="W37" s="126"/>
      <c r="X37" s="128" t="s">
        <v>63</v>
      </c>
      <c r="Y37" s="127"/>
      <c r="Z37" s="127"/>
      <c r="AA37" s="129"/>
    </row>
    <row r="38" spans="2:27" ht="12">
      <c r="B38" s="238">
        <v>37679</v>
      </c>
      <c r="C38" s="239">
        <v>5000</v>
      </c>
      <c r="D38" s="239">
        <v>6575</v>
      </c>
      <c r="E38" s="239">
        <v>4100</v>
      </c>
      <c r="F38" s="239">
        <v>22252</v>
      </c>
      <c r="G38" s="240">
        <v>15750</v>
      </c>
      <c r="H38" s="241"/>
      <c r="I38" s="245">
        <f t="shared" si="1"/>
        <v>0.015228426395939021</v>
      </c>
      <c r="J38" s="246">
        <f t="shared" si="2"/>
        <v>0.02734375</v>
      </c>
      <c r="K38" s="246">
        <f t="shared" si="3"/>
        <v>0</v>
      </c>
      <c r="L38" s="246">
        <f t="shared" si="4"/>
        <v>0.011362603399690974</v>
      </c>
      <c r="M38" s="247">
        <f t="shared" si="5"/>
        <v>0.016129032258064502</v>
      </c>
      <c r="V38" s="113"/>
      <c r="W38" s="273" t="str">
        <f>V5</f>
        <v>ARCLK.IS</v>
      </c>
      <c r="X38" s="274" t="str">
        <f>V6</f>
        <v>AKENR.IS</v>
      </c>
      <c r="Y38" s="274" t="str">
        <f>V7</f>
        <v>AKBNK.IS</v>
      </c>
      <c r="Z38" s="274" t="str">
        <f>V8</f>
        <v>ENKAI.IS</v>
      </c>
      <c r="AA38" s="275" t="str">
        <f>V9</f>
        <v>KUTPO.IS</v>
      </c>
    </row>
    <row r="39" spans="2:27" ht="12">
      <c r="B39" s="238">
        <v>37680</v>
      </c>
      <c r="C39" s="239">
        <v>5100</v>
      </c>
      <c r="D39" s="239">
        <v>6575</v>
      </c>
      <c r="E39" s="239">
        <v>4100</v>
      </c>
      <c r="F39" s="239">
        <v>22502</v>
      </c>
      <c r="G39" s="240">
        <v>15750</v>
      </c>
      <c r="H39" s="241"/>
      <c r="I39" s="245">
        <f t="shared" si="1"/>
        <v>0.020000000000000018</v>
      </c>
      <c r="J39" s="246">
        <f t="shared" si="2"/>
        <v>0</v>
      </c>
      <c r="K39" s="246">
        <f t="shared" si="3"/>
        <v>0</v>
      </c>
      <c r="L39" s="246">
        <f t="shared" si="4"/>
        <v>0.011234945173467459</v>
      </c>
      <c r="M39" s="247">
        <f t="shared" si="5"/>
        <v>0</v>
      </c>
      <c r="V39" s="279" t="s">
        <v>64</v>
      </c>
      <c r="W39" s="152">
        <f>V40</f>
        <v>0.2</v>
      </c>
      <c r="X39" s="153">
        <f>V41</f>
        <v>0.2</v>
      </c>
      <c r="Y39" s="153">
        <f>V42</f>
        <v>0.2</v>
      </c>
      <c r="Z39" s="153">
        <f>V43</f>
        <v>0.2</v>
      </c>
      <c r="AA39" s="154">
        <f>V44</f>
        <v>0.2</v>
      </c>
    </row>
    <row r="40" spans="2:30" ht="12">
      <c r="B40" s="238">
        <v>37683</v>
      </c>
      <c r="C40" s="239">
        <v>4300</v>
      </c>
      <c r="D40" s="239">
        <v>5875</v>
      </c>
      <c r="E40" s="239">
        <v>3550</v>
      </c>
      <c r="F40" s="239">
        <v>20252</v>
      </c>
      <c r="G40" s="240">
        <v>13750</v>
      </c>
      <c r="H40" s="241"/>
      <c r="I40" s="245">
        <f t="shared" si="1"/>
        <v>-0.1568627450980392</v>
      </c>
      <c r="J40" s="246">
        <f t="shared" si="2"/>
        <v>-0.10646387832699622</v>
      </c>
      <c r="K40" s="246">
        <f t="shared" si="3"/>
        <v>-0.13414634146341464</v>
      </c>
      <c r="L40" s="246">
        <f t="shared" si="4"/>
        <v>-0.09999111190116439</v>
      </c>
      <c r="M40" s="247">
        <f t="shared" si="5"/>
        <v>-0.12698412698412698</v>
      </c>
      <c r="V40" s="155">
        <f>1/5</f>
        <v>0.2</v>
      </c>
      <c r="W40" s="142">
        <f>V40*W39*W28</f>
        <v>109.13500667449753</v>
      </c>
      <c r="X40" s="143">
        <f>V40*X39*X28</f>
        <v>50.45652468463247</v>
      </c>
      <c r="Y40" s="143">
        <f>V40*Y39*Y28</f>
        <v>82.41398207384012</v>
      </c>
      <c r="Z40" s="143">
        <f>V40*Z39*Z28</f>
        <v>53.91155072792547</v>
      </c>
      <c r="AA40" s="144">
        <f>V40*AA39*AA28</f>
        <v>3.598713604882347</v>
      </c>
      <c r="AB40" s="19"/>
      <c r="AC40" s="19"/>
      <c r="AD40" s="19"/>
    </row>
    <row r="41" spans="2:30" ht="12">
      <c r="B41" s="238">
        <v>37684</v>
      </c>
      <c r="C41" s="239">
        <v>4650</v>
      </c>
      <c r="D41" s="239">
        <v>6225</v>
      </c>
      <c r="E41" s="239">
        <v>3750</v>
      </c>
      <c r="F41" s="239">
        <v>21252</v>
      </c>
      <c r="G41" s="240">
        <v>14750</v>
      </c>
      <c r="H41" s="241"/>
      <c r="I41" s="245">
        <f t="shared" si="1"/>
        <v>0.08139534883720922</v>
      </c>
      <c r="J41" s="246">
        <f t="shared" si="2"/>
        <v>0.05957446808510647</v>
      </c>
      <c r="K41" s="246">
        <f t="shared" si="3"/>
        <v>0.05633802816901401</v>
      </c>
      <c r="L41" s="246">
        <f t="shared" si="4"/>
        <v>0.04937783922575556</v>
      </c>
      <c r="M41" s="247">
        <f t="shared" si="5"/>
        <v>0.07272727272727275</v>
      </c>
      <c r="V41" s="156">
        <f>1/5</f>
        <v>0.2</v>
      </c>
      <c r="W41" s="145">
        <f>V41*W39*W29</f>
        <v>50.45652468463246</v>
      </c>
      <c r="X41" s="146">
        <f>V41*X39*X29</f>
        <v>60.2969958762146</v>
      </c>
      <c r="Y41" s="146">
        <f>V41*Y39*Y29</f>
        <v>48.04931484510546</v>
      </c>
      <c r="Z41" s="146">
        <f>V41*Z39*Z29</f>
        <v>30.605334541403163</v>
      </c>
      <c r="AA41" s="147">
        <f>V41*AA39*AA29</f>
        <v>-0.0077073196499069675</v>
      </c>
      <c r="AB41" s="22"/>
      <c r="AC41" s="22"/>
      <c r="AD41" s="22"/>
    </row>
    <row r="42" spans="2:30" ht="12">
      <c r="B42" s="238">
        <v>37685</v>
      </c>
      <c r="C42" s="239">
        <v>4650</v>
      </c>
      <c r="D42" s="239">
        <v>6300</v>
      </c>
      <c r="E42" s="239">
        <v>3700</v>
      </c>
      <c r="F42" s="239">
        <v>21502</v>
      </c>
      <c r="G42" s="240">
        <v>15250</v>
      </c>
      <c r="H42" s="241"/>
      <c r="I42" s="245">
        <f t="shared" si="1"/>
        <v>0</v>
      </c>
      <c r="J42" s="246">
        <f t="shared" si="2"/>
        <v>0.012048192771084265</v>
      </c>
      <c r="K42" s="246">
        <f t="shared" si="3"/>
        <v>-0.013333333333333308</v>
      </c>
      <c r="L42" s="246">
        <f t="shared" si="4"/>
        <v>0.01176359872012056</v>
      </c>
      <c r="M42" s="247">
        <f t="shared" si="5"/>
        <v>0.03389830508474567</v>
      </c>
      <c r="V42" s="156">
        <f>1/5</f>
        <v>0.2</v>
      </c>
      <c r="W42" s="145">
        <f>V42*W39*W30</f>
        <v>82.41398207384015</v>
      </c>
      <c r="X42" s="146">
        <f>V42*X39*X30</f>
        <v>48.04931484510545</v>
      </c>
      <c r="Y42" s="146">
        <f>V42*Y39*Y30</f>
        <v>101.57397883729355</v>
      </c>
      <c r="Z42" s="146">
        <f>V42*Z39*Z30</f>
        <v>49.93317481948448</v>
      </c>
      <c r="AA42" s="147">
        <f>V42*AA39*AA30</f>
        <v>4.086676846644355</v>
      </c>
      <c r="AB42" s="21"/>
      <c r="AC42" s="21"/>
      <c r="AD42" s="21"/>
    </row>
    <row r="43" spans="2:30" ht="12">
      <c r="B43" s="238">
        <v>37686</v>
      </c>
      <c r="C43" s="239">
        <v>4650</v>
      </c>
      <c r="D43" s="239">
        <v>6300</v>
      </c>
      <c r="E43" s="239">
        <v>3750</v>
      </c>
      <c r="F43" s="239">
        <v>22002</v>
      </c>
      <c r="G43" s="240">
        <v>15250</v>
      </c>
      <c r="H43" s="241"/>
      <c r="I43" s="245">
        <f t="shared" si="1"/>
        <v>0</v>
      </c>
      <c r="J43" s="246">
        <f t="shared" si="2"/>
        <v>0</v>
      </c>
      <c r="K43" s="246">
        <f t="shared" si="3"/>
        <v>0.013513513513513598</v>
      </c>
      <c r="L43" s="246">
        <f t="shared" si="4"/>
        <v>0.023253650823179317</v>
      </c>
      <c r="M43" s="247">
        <f t="shared" si="5"/>
        <v>0</v>
      </c>
      <c r="V43" s="156">
        <f>1/5</f>
        <v>0.2</v>
      </c>
      <c r="W43" s="145">
        <f>V43*W39*W31</f>
        <v>53.91155072792546</v>
      </c>
      <c r="X43" s="146">
        <f>V43*X39*X31</f>
        <v>30.60533454140316</v>
      </c>
      <c r="Y43" s="146">
        <f>V43*Y39*Y31</f>
        <v>49.93317481948448</v>
      </c>
      <c r="Z43" s="146">
        <f>V43*Z39*Z31</f>
        <v>65.8730871791378</v>
      </c>
      <c r="AA43" s="147">
        <f>V43*AA39*AA31</f>
        <v>2.455289915795392</v>
      </c>
      <c r="AB43" s="21"/>
      <c r="AC43" s="21"/>
      <c r="AD43" s="21"/>
    </row>
    <row r="44" spans="2:30" ht="12">
      <c r="B44" s="238">
        <v>37687</v>
      </c>
      <c r="C44" s="239">
        <v>4750</v>
      </c>
      <c r="D44" s="239">
        <v>6300</v>
      </c>
      <c r="E44" s="239">
        <v>3825</v>
      </c>
      <c r="F44" s="239">
        <v>22502</v>
      </c>
      <c r="G44" s="240">
        <v>15500</v>
      </c>
      <c r="H44" s="241"/>
      <c r="I44" s="245">
        <f t="shared" si="1"/>
        <v>0.021505376344086002</v>
      </c>
      <c r="J44" s="246">
        <f t="shared" si="2"/>
        <v>0</v>
      </c>
      <c r="K44" s="246">
        <f t="shared" si="3"/>
        <v>0.020000000000000018</v>
      </c>
      <c r="L44" s="246">
        <f t="shared" si="4"/>
        <v>0.022725206799381947</v>
      </c>
      <c r="M44" s="247">
        <f t="shared" si="5"/>
        <v>0.016393442622950838</v>
      </c>
      <c r="V44" s="157">
        <f>1/5</f>
        <v>0.2</v>
      </c>
      <c r="W44" s="148">
        <f>V44*W39*W32</f>
        <v>3.598713604882347</v>
      </c>
      <c r="X44" s="149">
        <f>V44*X39*X32</f>
        <v>-0.007707319649906967</v>
      </c>
      <c r="Y44" s="149">
        <f>V44*Y39*Y32</f>
        <v>4.086676846644355</v>
      </c>
      <c r="Z44" s="149">
        <f>V44*Z39*Z32</f>
        <v>2.4552899157953916</v>
      </c>
      <c r="AA44" s="150">
        <f>V44*AA39*AA32</f>
        <v>69.32593336162209</v>
      </c>
      <c r="AB44" s="21"/>
      <c r="AC44" s="21"/>
      <c r="AD44" s="21"/>
    </row>
    <row r="45" spans="2:30" ht="12">
      <c r="B45" s="238">
        <v>37690</v>
      </c>
      <c r="C45" s="239">
        <v>4750</v>
      </c>
      <c r="D45" s="239">
        <v>6300</v>
      </c>
      <c r="E45" s="239">
        <v>3700</v>
      </c>
      <c r="F45" s="239">
        <v>22502</v>
      </c>
      <c r="G45" s="240">
        <v>15500</v>
      </c>
      <c r="H45" s="241"/>
      <c r="I45" s="245">
        <f t="shared" si="1"/>
        <v>0</v>
      </c>
      <c r="J45" s="246">
        <f t="shared" si="2"/>
        <v>0</v>
      </c>
      <c r="K45" s="246">
        <f t="shared" si="3"/>
        <v>-0.0326797385620915</v>
      </c>
      <c r="L45" s="246">
        <f t="shared" si="4"/>
        <v>0</v>
      </c>
      <c r="M45" s="247">
        <f t="shared" si="5"/>
        <v>0</v>
      </c>
      <c r="V45" s="158"/>
      <c r="W45" s="152">
        <f>SUM(W40:W44)</f>
        <v>299.51577776577795</v>
      </c>
      <c r="X45" s="153">
        <f>SUM(X40:X44)</f>
        <v>189.40046262770576</v>
      </c>
      <c r="Y45" s="153">
        <f>SUM(Y40:Y44)</f>
        <v>286.05712742236796</v>
      </c>
      <c r="Z45" s="153">
        <f>SUM(Z40:Z44)</f>
        <v>202.77843718374632</v>
      </c>
      <c r="AA45" s="154">
        <f>SUM(AA40:AA44)</f>
        <v>79.45890640929429</v>
      </c>
      <c r="AB45" s="21"/>
      <c r="AC45" s="21"/>
      <c r="AD45" s="21"/>
    </row>
    <row r="46" spans="2:30" ht="12">
      <c r="B46" s="238">
        <v>37691</v>
      </c>
      <c r="C46" s="239">
        <v>4750</v>
      </c>
      <c r="D46" s="239">
        <v>6300</v>
      </c>
      <c r="E46" s="239">
        <v>3550</v>
      </c>
      <c r="F46" s="239">
        <v>22502</v>
      </c>
      <c r="G46" s="240">
        <v>15500</v>
      </c>
      <c r="H46" s="241"/>
      <c r="I46" s="245">
        <f t="shared" si="1"/>
        <v>0</v>
      </c>
      <c r="J46" s="246">
        <f t="shared" si="2"/>
        <v>0</v>
      </c>
      <c r="K46" s="246">
        <f t="shared" si="3"/>
        <v>-0.04054054054054057</v>
      </c>
      <c r="L46" s="246">
        <f t="shared" si="4"/>
        <v>0</v>
      </c>
      <c r="M46" s="247">
        <f t="shared" si="5"/>
        <v>0</v>
      </c>
      <c r="V46" s="159"/>
      <c r="W46" s="151"/>
      <c r="X46" s="151"/>
      <c r="Y46" s="151"/>
      <c r="Z46" s="151"/>
      <c r="AA46" s="151"/>
      <c r="AB46" s="21"/>
      <c r="AC46" s="21"/>
      <c r="AD46" s="21"/>
    </row>
    <row r="47" spans="2:30" ht="12">
      <c r="B47" s="238">
        <v>37692</v>
      </c>
      <c r="C47" s="239">
        <v>4650</v>
      </c>
      <c r="D47" s="239">
        <v>6125</v>
      </c>
      <c r="E47" s="239">
        <v>3550</v>
      </c>
      <c r="F47" s="239">
        <v>22002</v>
      </c>
      <c r="G47" s="240">
        <v>16000</v>
      </c>
      <c r="H47" s="241"/>
      <c r="I47" s="245">
        <f t="shared" si="1"/>
        <v>-0.021052631578947323</v>
      </c>
      <c r="J47" s="246">
        <f t="shared" si="2"/>
        <v>-0.02777777777777779</v>
      </c>
      <c r="K47" s="246">
        <f t="shared" si="3"/>
        <v>0</v>
      </c>
      <c r="L47" s="246">
        <f t="shared" si="4"/>
        <v>-0.022220247089147604</v>
      </c>
      <c r="M47" s="247">
        <f t="shared" si="5"/>
        <v>0.032258064516129004</v>
      </c>
      <c r="V47" s="276" t="s">
        <v>80</v>
      </c>
      <c r="W47" s="144">
        <f>SUM(W45:AA45)</f>
        <v>1057.2107114088922</v>
      </c>
      <c r="X47" s="151"/>
      <c r="Y47" s="151"/>
      <c r="Z47" s="151"/>
      <c r="AA47" s="151"/>
      <c r="AB47" s="21"/>
      <c r="AC47" s="21"/>
      <c r="AD47" s="21"/>
    </row>
    <row r="48" spans="2:30" ht="12">
      <c r="B48" s="238">
        <v>37693</v>
      </c>
      <c r="C48" s="239">
        <v>4575</v>
      </c>
      <c r="D48" s="239">
        <v>6300</v>
      </c>
      <c r="E48" s="239">
        <v>3625</v>
      </c>
      <c r="F48" s="239">
        <v>22252</v>
      </c>
      <c r="G48" s="240">
        <v>15750</v>
      </c>
      <c r="H48" s="241"/>
      <c r="I48" s="245">
        <f t="shared" si="1"/>
        <v>-0.016129032258064502</v>
      </c>
      <c r="J48" s="246">
        <f t="shared" si="2"/>
        <v>0.02857142857142847</v>
      </c>
      <c r="K48" s="246">
        <f t="shared" si="3"/>
        <v>0.021126760563380254</v>
      </c>
      <c r="L48" s="246">
        <f t="shared" si="4"/>
        <v>0.011362603399690974</v>
      </c>
      <c r="M48" s="247">
        <f t="shared" si="5"/>
        <v>-0.015625</v>
      </c>
      <c r="V48" s="277" t="s">
        <v>81</v>
      </c>
      <c r="W48" s="147">
        <f>W47^0.5</f>
        <v>32.51477681622453</v>
      </c>
      <c r="X48" s="113"/>
      <c r="Y48" s="113"/>
      <c r="Z48" s="113"/>
      <c r="AA48" s="113"/>
      <c r="AB48" s="21"/>
      <c r="AC48" s="21"/>
      <c r="AD48" s="21"/>
    </row>
    <row r="49" spans="2:30" ht="12">
      <c r="B49" s="238">
        <v>37694</v>
      </c>
      <c r="C49" s="239">
        <v>4650</v>
      </c>
      <c r="D49" s="239">
        <v>6300</v>
      </c>
      <c r="E49" s="239">
        <v>3550</v>
      </c>
      <c r="F49" s="239">
        <v>22002</v>
      </c>
      <c r="G49" s="240">
        <v>15250</v>
      </c>
      <c r="H49" s="241"/>
      <c r="I49" s="245">
        <f t="shared" si="1"/>
        <v>0.016393442622950838</v>
      </c>
      <c r="J49" s="246">
        <f t="shared" si="2"/>
        <v>0</v>
      </c>
      <c r="K49" s="246">
        <f t="shared" si="3"/>
        <v>-0.020689655172413834</v>
      </c>
      <c r="L49" s="246">
        <f t="shared" si="4"/>
        <v>-0.01123494517346757</v>
      </c>
      <c r="M49" s="247">
        <f t="shared" si="5"/>
        <v>-0.031746031746031744</v>
      </c>
      <c r="V49" s="278" t="s">
        <v>90</v>
      </c>
      <c r="W49" s="150">
        <f>V40*W5+V41*W6+V42*W7+V43*W8+V44*W9</f>
        <v>57.06840042468322</v>
      </c>
      <c r="X49" s="113"/>
      <c r="Y49" s="113"/>
      <c r="Z49" s="113"/>
      <c r="AA49" s="113"/>
      <c r="AB49" s="21"/>
      <c r="AC49" s="21"/>
      <c r="AD49" s="21"/>
    </row>
    <row r="50" spans="2:30" ht="12">
      <c r="B50" s="238">
        <v>37697</v>
      </c>
      <c r="C50" s="239">
        <v>4225</v>
      </c>
      <c r="D50" s="239">
        <v>5700</v>
      </c>
      <c r="E50" s="239">
        <v>3200</v>
      </c>
      <c r="F50" s="239">
        <v>22002</v>
      </c>
      <c r="G50" s="240">
        <v>14000</v>
      </c>
      <c r="H50" s="241"/>
      <c r="I50" s="245">
        <f t="shared" si="1"/>
        <v>-0.09139784946236562</v>
      </c>
      <c r="J50" s="246">
        <f t="shared" si="2"/>
        <v>-0.09523809523809523</v>
      </c>
      <c r="K50" s="246">
        <f t="shared" si="3"/>
        <v>-0.09859154929577463</v>
      </c>
      <c r="L50" s="246">
        <f t="shared" si="4"/>
        <v>0</v>
      </c>
      <c r="M50" s="247">
        <f t="shared" si="5"/>
        <v>-0.08196721311475408</v>
      </c>
      <c r="V50" s="113"/>
      <c r="W50" s="113"/>
      <c r="X50" s="113"/>
      <c r="Y50" s="113"/>
      <c r="Z50" s="113"/>
      <c r="AA50" s="113"/>
      <c r="AB50" s="21"/>
      <c r="AC50" s="21"/>
      <c r="AD50" s="21"/>
    </row>
    <row r="51" spans="2:27" ht="12">
      <c r="B51" s="238">
        <v>37698</v>
      </c>
      <c r="C51" s="239">
        <v>4750</v>
      </c>
      <c r="D51" s="239">
        <v>6300</v>
      </c>
      <c r="E51" s="239">
        <v>3550</v>
      </c>
      <c r="F51" s="239">
        <v>24002</v>
      </c>
      <c r="G51" s="240">
        <v>15500</v>
      </c>
      <c r="H51" s="241"/>
      <c r="I51" s="245">
        <f t="shared" si="1"/>
        <v>0.12426035502958577</v>
      </c>
      <c r="J51" s="246">
        <f t="shared" si="2"/>
        <v>0.10526315789473695</v>
      </c>
      <c r="K51" s="246">
        <f t="shared" si="3"/>
        <v>0.109375</v>
      </c>
      <c r="L51" s="246">
        <f t="shared" si="4"/>
        <v>0.09090082719752757</v>
      </c>
      <c r="M51" s="247">
        <f t="shared" si="5"/>
        <v>0.1071428571428572</v>
      </c>
      <c r="V51" s="113"/>
      <c r="W51" s="113"/>
      <c r="X51" s="113"/>
      <c r="Y51" s="113"/>
      <c r="Z51" s="113"/>
      <c r="AA51" s="113"/>
    </row>
    <row r="52" spans="2:27" ht="12">
      <c r="B52" s="238">
        <v>37699</v>
      </c>
      <c r="C52" s="239">
        <v>4475</v>
      </c>
      <c r="D52" s="239">
        <v>5950</v>
      </c>
      <c r="E52" s="239">
        <v>3325</v>
      </c>
      <c r="F52" s="239">
        <v>23752</v>
      </c>
      <c r="G52" s="240">
        <v>14500</v>
      </c>
      <c r="H52" s="241"/>
      <c r="I52" s="245">
        <f t="shared" si="1"/>
        <v>-0.05789473684210522</v>
      </c>
      <c r="J52" s="246">
        <f t="shared" si="2"/>
        <v>-0.05555555555555558</v>
      </c>
      <c r="K52" s="246">
        <f t="shared" si="3"/>
        <v>-0.06338028169014087</v>
      </c>
      <c r="L52" s="246">
        <f t="shared" si="4"/>
        <v>-0.010415798683443</v>
      </c>
      <c r="M52" s="247">
        <f t="shared" si="5"/>
        <v>-0.06451612903225812</v>
      </c>
      <c r="V52" s="113"/>
      <c r="W52" s="113"/>
      <c r="X52" s="113"/>
      <c r="Y52" s="113"/>
      <c r="Z52" s="113"/>
      <c r="AA52" s="113"/>
    </row>
    <row r="53" spans="2:28" ht="12">
      <c r="B53" s="238">
        <v>37700</v>
      </c>
      <c r="C53" s="239">
        <v>4300</v>
      </c>
      <c r="D53" s="239">
        <v>5950</v>
      </c>
      <c r="E53" s="239">
        <v>3125</v>
      </c>
      <c r="F53" s="239">
        <v>23502</v>
      </c>
      <c r="G53" s="240">
        <v>14250</v>
      </c>
      <c r="H53" s="241"/>
      <c r="I53" s="245">
        <f t="shared" si="1"/>
        <v>-0.03910614525139666</v>
      </c>
      <c r="J53" s="246">
        <f t="shared" si="2"/>
        <v>0</v>
      </c>
      <c r="K53" s="246">
        <f t="shared" si="3"/>
        <v>-0.06015037593984962</v>
      </c>
      <c r="L53" s="246">
        <f t="shared" si="4"/>
        <v>-0.010525429437521105</v>
      </c>
      <c r="M53" s="247">
        <f t="shared" si="5"/>
        <v>-0.017241379310344862</v>
      </c>
      <c r="V53" s="113"/>
      <c r="W53" s="113"/>
      <c r="X53" s="113"/>
      <c r="Y53" s="113"/>
      <c r="Z53" s="113"/>
      <c r="AA53" s="113"/>
      <c r="AB53" s="293" t="s">
        <v>91</v>
      </c>
    </row>
    <row r="54" spans="2:28" ht="12">
      <c r="B54" s="238">
        <v>37701</v>
      </c>
      <c r="C54" s="239">
        <v>4225</v>
      </c>
      <c r="D54" s="239">
        <v>5875</v>
      </c>
      <c r="E54" s="239">
        <v>2925</v>
      </c>
      <c r="F54" s="239">
        <v>24502</v>
      </c>
      <c r="G54" s="240">
        <v>14000</v>
      </c>
      <c r="H54" s="241"/>
      <c r="I54" s="245">
        <f t="shared" si="1"/>
        <v>-0.01744186046511631</v>
      </c>
      <c r="J54" s="246">
        <f t="shared" si="2"/>
        <v>-0.012605042016806678</v>
      </c>
      <c r="K54" s="246">
        <f t="shared" si="3"/>
        <v>-0.06399999999999995</v>
      </c>
      <c r="L54" s="246">
        <f t="shared" si="4"/>
        <v>0.042549570249340585</v>
      </c>
      <c r="M54" s="247">
        <f t="shared" si="5"/>
        <v>-0.01754385964912286</v>
      </c>
      <c r="V54" s="113"/>
      <c r="W54" s="113"/>
      <c r="X54" s="113"/>
      <c r="Y54" s="113"/>
      <c r="Z54" s="113"/>
      <c r="AA54" s="113"/>
      <c r="AB54" s="292"/>
    </row>
    <row r="55" spans="2:27" ht="12">
      <c r="B55" s="238">
        <v>37704</v>
      </c>
      <c r="C55" s="239">
        <v>3875</v>
      </c>
      <c r="D55" s="239">
        <v>5700</v>
      </c>
      <c r="E55" s="239">
        <v>2750</v>
      </c>
      <c r="F55" s="239">
        <v>24502</v>
      </c>
      <c r="G55" s="240">
        <v>13500</v>
      </c>
      <c r="H55" s="241"/>
      <c r="I55" s="245">
        <f t="shared" si="1"/>
        <v>-0.08284023668639051</v>
      </c>
      <c r="J55" s="246">
        <f t="shared" si="2"/>
        <v>-0.029787234042553234</v>
      </c>
      <c r="K55" s="246">
        <f t="shared" si="3"/>
        <v>-0.05982905982905984</v>
      </c>
      <c r="L55" s="246">
        <f t="shared" si="4"/>
        <v>0</v>
      </c>
      <c r="M55" s="247">
        <f t="shared" si="5"/>
        <v>-0.0357142857142857</v>
      </c>
      <c r="V55" s="113"/>
      <c r="W55" s="126"/>
      <c r="X55" s="127"/>
      <c r="Y55" s="160" t="s">
        <v>70</v>
      </c>
      <c r="Z55" s="127"/>
      <c r="AA55" s="129"/>
    </row>
    <row r="56" spans="2:30" ht="12">
      <c r="B56" s="238">
        <v>37705</v>
      </c>
      <c r="C56" s="239">
        <v>3950</v>
      </c>
      <c r="D56" s="239">
        <v>5875</v>
      </c>
      <c r="E56" s="239">
        <v>2825</v>
      </c>
      <c r="F56" s="239">
        <v>24502</v>
      </c>
      <c r="G56" s="240">
        <v>14000</v>
      </c>
      <c r="H56" s="241"/>
      <c r="I56" s="245">
        <f t="shared" si="1"/>
        <v>0.019354838709677358</v>
      </c>
      <c r="J56" s="246">
        <f t="shared" si="2"/>
        <v>0.030701754385964897</v>
      </c>
      <c r="K56" s="246">
        <f t="shared" si="3"/>
        <v>0.027272727272727337</v>
      </c>
      <c r="L56" s="246">
        <f t="shared" si="4"/>
        <v>0</v>
      </c>
      <c r="M56" s="247">
        <f t="shared" si="5"/>
        <v>0.03703703703703698</v>
      </c>
      <c r="V56" s="113"/>
      <c r="W56" s="273" t="str">
        <f>V5</f>
        <v>ARCLK.IS</v>
      </c>
      <c r="X56" s="274" t="str">
        <f>V6</f>
        <v>AKENR.IS</v>
      </c>
      <c r="Y56" s="274" t="str">
        <f>V7</f>
        <v>AKBNK.IS</v>
      </c>
      <c r="Z56" s="274" t="str">
        <f>V8</f>
        <v>ENKAI.IS</v>
      </c>
      <c r="AA56" s="275" t="str">
        <f>V9</f>
        <v>KUTPO.IS</v>
      </c>
      <c r="AB56" s="19"/>
      <c r="AC56" s="19"/>
      <c r="AD56" s="19"/>
    </row>
    <row r="57" spans="2:31" ht="12">
      <c r="B57" s="238">
        <v>37706</v>
      </c>
      <c r="C57" s="239">
        <v>4050</v>
      </c>
      <c r="D57" s="239">
        <v>5950</v>
      </c>
      <c r="E57" s="239">
        <v>2950</v>
      </c>
      <c r="F57" s="239">
        <v>24502</v>
      </c>
      <c r="G57" s="240">
        <v>14250</v>
      </c>
      <c r="H57" s="241"/>
      <c r="I57" s="245">
        <f t="shared" si="1"/>
        <v>0.025316455696202445</v>
      </c>
      <c r="J57" s="246">
        <f t="shared" si="2"/>
        <v>0.012765957446808418</v>
      </c>
      <c r="K57" s="246">
        <f t="shared" si="3"/>
        <v>0.04424778761061954</v>
      </c>
      <c r="L57" s="246">
        <f t="shared" si="4"/>
        <v>0</v>
      </c>
      <c r="M57" s="247">
        <f t="shared" si="5"/>
        <v>0.017857142857142794</v>
      </c>
      <c r="V57" s="279" t="s">
        <v>64</v>
      </c>
      <c r="W57" s="152">
        <f>V58</f>
        <v>0</v>
      </c>
      <c r="X57" s="153">
        <f>V59</f>
        <v>0.018288894594141975</v>
      </c>
      <c r="Y57" s="153">
        <f>V60</f>
        <v>0.2493251852308613</v>
      </c>
      <c r="Z57" s="153">
        <f>V61</f>
        <v>0.3220689068746179</v>
      </c>
      <c r="AA57" s="154">
        <f>V62</f>
        <v>0.41031701330037884</v>
      </c>
      <c r="AB57" s="21"/>
      <c r="AC57" s="21"/>
      <c r="AD57" s="21"/>
      <c r="AE57" s="23"/>
    </row>
    <row r="58" spans="2:31" ht="12">
      <c r="B58" s="238">
        <v>37707</v>
      </c>
      <c r="C58" s="239">
        <v>4125</v>
      </c>
      <c r="D58" s="239">
        <v>5950</v>
      </c>
      <c r="E58" s="239">
        <v>3100</v>
      </c>
      <c r="F58" s="239">
        <v>24752</v>
      </c>
      <c r="G58" s="240">
        <v>14500</v>
      </c>
      <c r="H58" s="241"/>
      <c r="I58" s="245">
        <f t="shared" si="1"/>
        <v>0.0185185185185186</v>
      </c>
      <c r="J58" s="246">
        <f t="shared" si="2"/>
        <v>0</v>
      </c>
      <c r="K58" s="246">
        <f t="shared" si="3"/>
        <v>0.05084745762711873</v>
      </c>
      <c r="L58" s="246">
        <f t="shared" si="4"/>
        <v>0.0102032487143906</v>
      </c>
      <c r="M58" s="247">
        <f t="shared" si="5"/>
        <v>0.01754385964912286</v>
      </c>
      <c r="U58" s="270" t="s">
        <v>51</v>
      </c>
      <c r="V58" s="161">
        <v>0</v>
      </c>
      <c r="W58" s="142">
        <f aca="true" t="shared" si="6" ref="W58:AA62">$V58*W$57*W28</f>
        <v>0</v>
      </c>
      <c r="X58" s="143">
        <f t="shared" si="6"/>
        <v>0</v>
      </c>
      <c r="Y58" s="143">
        <f t="shared" si="6"/>
        <v>0</v>
      </c>
      <c r="Z58" s="143">
        <f t="shared" si="6"/>
        <v>0</v>
      </c>
      <c r="AA58" s="144">
        <f t="shared" si="6"/>
        <v>0</v>
      </c>
      <c r="AB58" s="21"/>
      <c r="AC58" s="21"/>
      <c r="AD58" s="21"/>
      <c r="AE58" s="23"/>
    </row>
    <row r="59" spans="2:31" ht="12">
      <c r="B59" s="238">
        <v>37708</v>
      </c>
      <c r="C59" s="239">
        <v>4225</v>
      </c>
      <c r="D59" s="239">
        <v>5950</v>
      </c>
      <c r="E59" s="239">
        <v>3100</v>
      </c>
      <c r="F59" s="239">
        <v>24502</v>
      </c>
      <c r="G59" s="240">
        <v>14500</v>
      </c>
      <c r="H59" s="241"/>
      <c r="I59" s="245">
        <f t="shared" si="1"/>
        <v>0.024242424242424176</v>
      </c>
      <c r="J59" s="246">
        <f t="shared" si="2"/>
        <v>0</v>
      </c>
      <c r="K59" s="246">
        <f t="shared" si="3"/>
        <v>0</v>
      </c>
      <c r="L59" s="246">
        <f t="shared" si="4"/>
        <v>-0.0101001939237233</v>
      </c>
      <c r="M59" s="247">
        <f t="shared" si="5"/>
        <v>0</v>
      </c>
      <c r="U59" s="271" t="s">
        <v>52</v>
      </c>
      <c r="V59" s="162">
        <v>0.018288894594141975</v>
      </c>
      <c r="W59" s="145">
        <f t="shared" si="6"/>
        <v>0</v>
      </c>
      <c r="X59" s="146">
        <f t="shared" si="6"/>
        <v>0.5042090049461384</v>
      </c>
      <c r="Y59" s="146">
        <f t="shared" si="6"/>
        <v>5.477480185725689</v>
      </c>
      <c r="Z59" s="146">
        <f t="shared" si="6"/>
        <v>4.506853030894036</v>
      </c>
      <c r="AA59" s="147">
        <f t="shared" si="6"/>
        <v>-0.0014459402978218858</v>
      </c>
      <c r="AB59" s="21"/>
      <c r="AC59" s="21"/>
      <c r="AD59" s="21"/>
      <c r="AE59" s="23"/>
    </row>
    <row r="60" spans="2:31" ht="12">
      <c r="B60" s="238">
        <v>37711</v>
      </c>
      <c r="C60" s="239">
        <v>4050</v>
      </c>
      <c r="D60" s="239">
        <v>5950</v>
      </c>
      <c r="E60" s="239">
        <v>3050</v>
      </c>
      <c r="F60" s="239">
        <v>24002</v>
      </c>
      <c r="G60" s="240">
        <v>14250</v>
      </c>
      <c r="H60" s="241"/>
      <c r="I60" s="245">
        <f t="shared" si="1"/>
        <v>-0.041420118343195256</v>
      </c>
      <c r="J60" s="246">
        <f t="shared" si="2"/>
        <v>0</v>
      </c>
      <c r="K60" s="246">
        <f t="shared" si="3"/>
        <v>-0.016129032258064502</v>
      </c>
      <c r="L60" s="246">
        <f t="shared" si="4"/>
        <v>-0.02040649742878131</v>
      </c>
      <c r="M60" s="247">
        <f t="shared" si="5"/>
        <v>-0.017241379310344862</v>
      </c>
      <c r="U60" s="271" t="s">
        <v>53</v>
      </c>
      <c r="V60" s="162">
        <v>0.2493251852308613</v>
      </c>
      <c r="W60" s="145">
        <f t="shared" si="6"/>
        <v>0</v>
      </c>
      <c r="X60" s="146">
        <f t="shared" si="6"/>
        <v>5.477480185725687</v>
      </c>
      <c r="Y60" s="146">
        <f t="shared" si="6"/>
        <v>157.85370302597215</v>
      </c>
      <c r="Z60" s="146">
        <f t="shared" si="6"/>
        <v>100.24071096363109</v>
      </c>
      <c r="AA60" s="147">
        <f t="shared" si="6"/>
        <v>10.451917695257052</v>
      </c>
      <c r="AB60" s="21"/>
      <c r="AC60" s="21"/>
      <c r="AD60" s="21"/>
      <c r="AE60" s="23"/>
    </row>
    <row r="61" spans="2:31" ht="12">
      <c r="B61" s="238">
        <v>37712</v>
      </c>
      <c r="C61" s="239">
        <v>4400</v>
      </c>
      <c r="D61" s="239">
        <v>6125</v>
      </c>
      <c r="E61" s="239">
        <v>3200</v>
      </c>
      <c r="F61" s="239">
        <v>24502</v>
      </c>
      <c r="G61" s="240">
        <v>14500</v>
      </c>
      <c r="H61" s="241"/>
      <c r="I61" s="245">
        <f t="shared" si="1"/>
        <v>0.08641975308641969</v>
      </c>
      <c r="J61" s="246">
        <f t="shared" si="2"/>
        <v>0.02941176470588225</v>
      </c>
      <c r="K61" s="246">
        <f t="shared" si="3"/>
        <v>0.049180327868852514</v>
      </c>
      <c r="L61" s="246">
        <f t="shared" si="4"/>
        <v>0.020831597366886</v>
      </c>
      <c r="M61" s="247">
        <f t="shared" si="5"/>
        <v>0.01754385964912286</v>
      </c>
      <c r="U61" s="271" t="s">
        <v>54</v>
      </c>
      <c r="V61" s="162">
        <v>0.3220689068746179</v>
      </c>
      <c r="W61" s="145">
        <f t="shared" si="6"/>
        <v>0</v>
      </c>
      <c r="X61" s="146">
        <f t="shared" si="6"/>
        <v>4.506853030894035</v>
      </c>
      <c r="Y61" s="146">
        <f t="shared" si="6"/>
        <v>100.24071096363109</v>
      </c>
      <c r="Z61" s="146">
        <f t="shared" si="6"/>
        <v>170.82271674423671</v>
      </c>
      <c r="AA61" s="147">
        <f t="shared" si="6"/>
        <v>8.111685662527906</v>
      </c>
      <c r="AB61" s="21"/>
      <c r="AC61" s="21"/>
      <c r="AD61" s="21"/>
      <c r="AE61" s="23"/>
    </row>
    <row r="62" spans="2:31" ht="12">
      <c r="B62" s="238">
        <v>37713</v>
      </c>
      <c r="C62" s="239">
        <v>4300</v>
      </c>
      <c r="D62" s="239">
        <v>6125</v>
      </c>
      <c r="E62" s="239">
        <v>3200</v>
      </c>
      <c r="F62" s="239">
        <v>25002</v>
      </c>
      <c r="G62" s="240">
        <v>14500</v>
      </c>
      <c r="H62" s="241"/>
      <c r="I62" s="245">
        <f t="shared" si="1"/>
        <v>-0.022727272727272707</v>
      </c>
      <c r="J62" s="246">
        <f t="shared" si="2"/>
        <v>0</v>
      </c>
      <c r="K62" s="246">
        <f t="shared" si="3"/>
        <v>0</v>
      </c>
      <c r="L62" s="246">
        <f t="shared" si="4"/>
        <v>0.020406497428781423</v>
      </c>
      <c r="M62" s="247">
        <f t="shared" si="5"/>
        <v>0</v>
      </c>
      <c r="U62" s="272" t="s">
        <v>55</v>
      </c>
      <c r="V62" s="163">
        <v>0.41031701330037884</v>
      </c>
      <c r="W62" s="148">
        <f t="shared" si="6"/>
        <v>0</v>
      </c>
      <c r="X62" s="149">
        <f t="shared" si="6"/>
        <v>-0.0014459402978218856</v>
      </c>
      <c r="Y62" s="149">
        <f t="shared" si="6"/>
        <v>10.451917695257052</v>
      </c>
      <c r="Z62" s="149">
        <f t="shared" si="6"/>
        <v>8.111685662527906</v>
      </c>
      <c r="AA62" s="150">
        <f t="shared" si="6"/>
        <v>291.79294260937934</v>
      </c>
      <c r="AB62" s="21"/>
      <c r="AC62" s="21"/>
      <c r="AD62" s="21"/>
      <c r="AE62" s="23"/>
    </row>
    <row r="63" spans="2:31" ht="12">
      <c r="B63" s="238">
        <v>37714</v>
      </c>
      <c r="C63" s="239">
        <v>4475</v>
      </c>
      <c r="D63" s="239">
        <v>6400</v>
      </c>
      <c r="E63" s="239">
        <v>3300</v>
      </c>
      <c r="F63" s="239">
        <v>27503</v>
      </c>
      <c r="G63" s="240">
        <v>14750</v>
      </c>
      <c r="H63" s="241"/>
      <c r="I63" s="245">
        <f t="shared" si="1"/>
        <v>0.04069767441860472</v>
      </c>
      <c r="J63" s="246">
        <f t="shared" si="2"/>
        <v>0.044897959183673564</v>
      </c>
      <c r="K63" s="246">
        <f t="shared" si="3"/>
        <v>0.03125</v>
      </c>
      <c r="L63" s="246">
        <f t="shared" si="4"/>
        <v>0.10003199744020486</v>
      </c>
      <c r="M63" s="247">
        <f t="shared" si="5"/>
        <v>0.01724137931034475</v>
      </c>
      <c r="U63" s="280"/>
      <c r="V63" s="164">
        <f aca="true" t="shared" si="7" ref="V63:AA63">SUM(V58:V62)</f>
        <v>1</v>
      </c>
      <c r="W63" s="153">
        <f t="shared" si="7"/>
        <v>0</v>
      </c>
      <c r="X63" s="153">
        <f t="shared" si="7"/>
        <v>10.48709628126804</v>
      </c>
      <c r="Y63" s="153">
        <f t="shared" si="7"/>
        <v>274.023811870586</v>
      </c>
      <c r="Z63" s="153">
        <f t="shared" si="7"/>
        <v>283.68196640128974</v>
      </c>
      <c r="AA63" s="154">
        <f t="shared" si="7"/>
        <v>310.35510002686647</v>
      </c>
      <c r="AB63" s="21"/>
      <c r="AC63" s="21"/>
      <c r="AD63" s="21"/>
      <c r="AE63" s="23"/>
    </row>
    <row r="64" spans="2:31" ht="12">
      <c r="B64" s="238">
        <v>37715</v>
      </c>
      <c r="C64" s="239">
        <v>4475</v>
      </c>
      <c r="D64" s="239">
        <v>6300</v>
      </c>
      <c r="E64" s="239">
        <v>3500</v>
      </c>
      <c r="F64" s="239">
        <v>28003</v>
      </c>
      <c r="G64" s="240">
        <v>14500</v>
      </c>
      <c r="H64" s="241"/>
      <c r="I64" s="245">
        <f t="shared" si="1"/>
        <v>0</v>
      </c>
      <c r="J64" s="246">
        <f t="shared" si="2"/>
        <v>-0.015625</v>
      </c>
      <c r="K64" s="246">
        <f t="shared" si="3"/>
        <v>0.06060606060606055</v>
      </c>
      <c r="L64" s="246">
        <f t="shared" si="4"/>
        <v>0.01817983492709896</v>
      </c>
      <c r="M64" s="247">
        <f t="shared" si="5"/>
        <v>-0.016949152542372836</v>
      </c>
      <c r="V64" s="159"/>
      <c r="W64" s="151"/>
      <c r="X64" s="151"/>
      <c r="Y64" s="151"/>
      <c r="Z64" s="151"/>
      <c r="AA64" s="151"/>
      <c r="AB64" s="21"/>
      <c r="AC64" s="21"/>
      <c r="AD64" s="21"/>
      <c r="AE64" s="23"/>
    </row>
    <row r="65" spans="2:31" ht="12">
      <c r="B65" s="238">
        <v>37718</v>
      </c>
      <c r="C65" s="239">
        <v>4575</v>
      </c>
      <c r="D65" s="239">
        <v>6475</v>
      </c>
      <c r="E65" s="239">
        <v>3675</v>
      </c>
      <c r="F65" s="239">
        <v>28503</v>
      </c>
      <c r="G65" s="240">
        <v>15000</v>
      </c>
      <c r="H65" s="241"/>
      <c r="I65" s="245">
        <f t="shared" si="1"/>
        <v>0.022346368715083775</v>
      </c>
      <c r="J65" s="246">
        <f t="shared" si="2"/>
        <v>0.02777777777777768</v>
      </c>
      <c r="K65" s="246">
        <f t="shared" si="3"/>
        <v>0.050000000000000044</v>
      </c>
      <c r="L65" s="246">
        <f t="shared" si="4"/>
        <v>0.017855229796807537</v>
      </c>
      <c r="M65" s="247">
        <f t="shared" si="5"/>
        <v>0.034482758620689724</v>
      </c>
      <c r="V65" s="159"/>
      <c r="W65" s="151"/>
      <c r="X65" s="151"/>
      <c r="Y65" s="151"/>
      <c r="Z65" s="151"/>
      <c r="AA65" s="151"/>
      <c r="AB65" s="21"/>
      <c r="AC65" s="21"/>
      <c r="AD65" s="21"/>
      <c r="AE65" s="23"/>
    </row>
    <row r="66" spans="2:31" ht="12">
      <c r="B66" s="238">
        <v>37719</v>
      </c>
      <c r="C66" s="239">
        <v>4400</v>
      </c>
      <c r="D66" s="239">
        <v>6400</v>
      </c>
      <c r="E66" s="239">
        <v>3475</v>
      </c>
      <c r="F66" s="239">
        <v>27503</v>
      </c>
      <c r="G66" s="240">
        <v>14500</v>
      </c>
      <c r="H66" s="241"/>
      <c r="I66" s="245">
        <f t="shared" si="1"/>
        <v>-0.03825136612021862</v>
      </c>
      <c r="J66" s="246">
        <f t="shared" si="2"/>
        <v>-0.01158301158301156</v>
      </c>
      <c r="K66" s="246">
        <f t="shared" si="3"/>
        <v>-0.05442176870748294</v>
      </c>
      <c r="L66" s="246">
        <f t="shared" si="4"/>
        <v>-0.035084026242851674</v>
      </c>
      <c r="M66" s="247">
        <f t="shared" si="5"/>
        <v>-0.033333333333333326</v>
      </c>
      <c r="V66" s="113"/>
      <c r="W66" s="113"/>
      <c r="X66" s="113"/>
      <c r="Y66" s="113"/>
      <c r="Z66" s="113"/>
      <c r="AA66" s="113"/>
      <c r="AB66" s="21"/>
      <c r="AC66" s="21"/>
      <c r="AD66" s="21"/>
      <c r="AE66" s="23"/>
    </row>
    <row r="67" spans="2:27" ht="12">
      <c r="B67" s="238">
        <v>37720</v>
      </c>
      <c r="C67" s="239">
        <v>4575</v>
      </c>
      <c r="D67" s="239">
        <v>6575</v>
      </c>
      <c r="E67" s="239">
        <v>3675</v>
      </c>
      <c r="F67" s="239">
        <v>27503</v>
      </c>
      <c r="G67" s="240">
        <v>14750</v>
      </c>
      <c r="H67" s="241"/>
      <c r="I67" s="245">
        <f t="shared" si="1"/>
        <v>0.03977272727272729</v>
      </c>
      <c r="J67" s="246">
        <f t="shared" si="2"/>
        <v>0.02734375</v>
      </c>
      <c r="K67" s="246">
        <f t="shared" si="3"/>
        <v>0.05755395683453246</v>
      </c>
      <c r="L67" s="246">
        <f t="shared" si="4"/>
        <v>0</v>
      </c>
      <c r="M67" s="247">
        <f t="shared" si="5"/>
        <v>0.01724137931034475</v>
      </c>
      <c r="V67" s="113"/>
      <c r="W67" s="113"/>
      <c r="X67" s="113"/>
      <c r="Y67" s="113"/>
      <c r="Z67" s="113"/>
      <c r="AA67" s="113"/>
    </row>
    <row r="68" spans="2:27" ht="12">
      <c r="B68" s="238">
        <v>37721</v>
      </c>
      <c r="C68" s="239">
        <v>4400</v>
      </c>
      <c r="D68" s="239">
        <v>6400</v>
      </c>
      <c r="E68" s="239">
        <v>3525</v>
      </c>
      <c r="F68" s="239">
        <v>27003</v>
      </c>
      <c r="G68" s="240">
        <v>14500</v>
      </c>
      <c r="H68" s="241"/>
      <c r="I68" s="245">
        <f t="shared" si="1"/>
        <v>-0.03825136612021862</v>
      </c>
      <c r="J68" s="246">
        <f t="shared" si="2"/>
        <v>-0.026615969581749055</v>
      </c>
      <c r="K68" s="246">
        <f t="shared" si="3"/>
        <v>-0.04081632653061229</v>
      </c>
      <c r="L68" s="246">
        <f t="shared" si="4"/>
        <v>-0.018179834927098848</v>
      </c>
      <c r="M68" s="247">
        <f t="shared" si="5"/>
        <v>-0.016949152542372836</v>
      </c>
      <c r="V68" s="276" t="s">
        <v>80</v>
      </c>
      <c r="W68" s="165">
        <f>SUM(W63:AA63)</f>
        <v>878.5479745800103</v>
      </c>
      <c r="X68" s="113"/>
      <c r="Y68" s="113"/>
      <c r="Z68" s="113"/>
      <c r="AA68" s="113"/>
    </row>
    <row r="69" spans="2:30" ht="12">
      <c r="B69" s="238">
        <v>37722</v>
      </c>
      <c r="C69" s="239">
        <v>4300</v>
      </c>
      <c r="D69" s="239">
        <v>6475</v>
      </c>
      <c r="E69" s="239">
        <v>3475</v>
      </c>
      <c r="F69" s="239">
        <v>27003</v>
      </c>
      <c r="G69" s="240">
        <v>14500</v>
      </c>
      <c r="H69" s="241"/>
      <c r="I69" s="245">
        <f aca="true" t="shared" si="8" ref="I69:I132">C69/C68-1</f>
        <v>-0.022727272727272707</v>
      </c>
      <c r="J69" s="246">
        <f t="shared" si="2"/>
        <v>0.01171875</v>
      </c>
      <c r="K69" s="246">
        <f t="shared" si="3"/>
        <v>-0.014184397163120588</v>
      </c>
      <c r="L69" s="246">
        <f t="shared" si="4"/>
        <v>0</v>
      </c>
      <c r="M69" s="247">
        <f t="shared" si="5"/>
        <v>0</v>
      </c>
      <c r="V69" s="277" t="s">
        <v>81</v>
      </c>
      <c r="W69" s="166">
        <f>W68^0.5</f>
        <v>29.640309960930068</v>
      </c>
      <c r="X69" s="113"/>
      <c r="Z69" s="113"/>
      <c r="AA69" s="113"/>
      <c r="AD69" s="22"/>
    </row>
    <row r="70" spans="2:27" ht="12">
      <c r="B70" s="238">
        <v>37725</v>
      </c>
      <c r="C70" s="239">
        <v>4650</v>
      </c>
      <c r="D70" s="239">
        <v>6750</v>
      </c>
      <c r="E70" s="239">
        <v>3675</v>
      </c>
      <c r="F70" s="239">
        <v>27503</v>
      </c>
      <c r="G70" s="240">
        <v>15400</v>
      </c>
      <c r="H70" s="241"/>
      <c r="I70" s="245">
        <f t="shared" si="8"/>
        <v>0.08139534883720922</v>
      </c>
      <c r="J70" s="246">
        <f t="shared" si="2"/>
        <v>0.042471042471042386</v>
      </c>
      <c r="K70" s="246">
        <f t="shared" si="3"/>
        <v>0.05755395683453246</v>
      </c>
      <c r="L70" s="246">
        <f t="shared" si="4"/>
        <v>0.018516461133948114</v>
      </c>
      <c r="M70" s="247">
        <f t="shared" si="5"/>
        <v>0.06206896551724128</v>
      </c>
      <c r="V70" s="278" t="s">
        <v>82</v>
      </c>
      <c r="W70" s="167">
        <f>V58*W5+V59*W6+V60*W7+V61*W8+V62*W9</f>
        <v>59.999999994995704</v>
      </c>
      <c r="X70" s="113"/>
      <c r="Z70" s="113"/>
      <c r="AA70" s="113"/>
    </row>
    <row r="71" spans="2:27" ht="12">
      <c r="B71" s="238">
        <v>37726</v>
      </c>
      <c r="C71" s="239">
        <v>4825</v>
      </c>
      <c r="D71" s="239">
        <v>6750</v>
      </c>
      <c r="E71" s="239">
        <v>3750</v>
      </c>
      <c r="F71" s="239">
        <v>27253</v>
      </c>
      <c r="G71" s="240">
        <v>15200</v>
      </c>
      <c r="H71" s="241"/>
      <c r="I71" s="245">
        <f t="shared" si="8"/>
        <v>0.037634408602150504</v>
      </c>
      <c r="J71" s="246">
        <f t="shared" si="2"/>
        <v>0</v>
      </c>
      <c r="K71" s="246">
        <f t="shared" si="3"/>
        <v>0.020408163265306145</v>
      </c>
      <c r="L71" s="246">
        <f t="shared" si="4"/>
        <v>-0.00908991746354948</v>
      </c>
      <c r="M71" s="247">
        <f t="shared" si="5"/>
        <v>-0.012987012987012991</v>
      </c>
      <c r="V71" s="113"/>
      <c r="W71" s="113"/>
      <c r="X71" s="113"/>
      <c r="Y71" s="123" t="s">
        <v>71</v>
      </c>
      <c r="Z71" s="113"/>
      <c r="AA71" s="113"/>
    </row>
    <row r="72" spans="2:31" ht="12">
      <c r="B72" s="238">
        <v>37727</v>
      </c>
      <c r="C72" s="239">
        <v>5275</v>
      </c>
      <c r="D72" s="239">
        <v>6800</v>
      </c>
      <c r="E72" s="239">
        <v>3700</v>
      </c>
      <c r="F72" s="239">
        <v>27503</v>
      </c>
      <c r="G72" s="240">
        <v>15300</v>
      </c>
      <c r="H72" s="241"/>
      <c r="I72" s="245">
        <f t="shared" si="8"/>
        <v>0.09326424870466332</v>
      </c>
      <c r="J72" s="246">
        <f t="shared" si="2"/>
        <v>0.007407407407407307</v>
      </c>
      <c r="K72" s="246">
        <f t="shared" si="3"/>
        <v>-0.013333333333333308</v>
      </c>
      <c r="L72" s="246">
        <f t="shared" si="4"/>
        <v>0.00917330202179567</v>
      </c>
      <c r="M72" s="247">
        <f t="shared" si="5"/>
        <v>0.006578947368421018</v>
      </c>
      <c r="V72" s="281" t="s">
        <v>83</v>
      </c>
      <c r="W72" s="281" t="s">
        <v>58</v>
      </c>
      <c r="X72" s="274" t="str">
        <f>V5</f>
        <v>ARCLK.IS</v>
      </c>
      <c r="Y72" s="274" t="str">
        <f>V6</f>
        <v>AKENR.IS</v>
      </c>
      <c r="Z72" s="274" t="str">
        <f>V7</f>
        <v>AKBNK.IS</v>
      </c>
      <c r="AA72" s="274" t="str">
        <f>V8</f>
        <v>ENKAI.IS</v>
      </c>
      <c r="AB72" s="275" t="str">
        <f>V9</f>
        <v>KUTPO.IS</v>
      </c>
      <c r="AC72" s="19"/>
      <c r="AD72" s="19"/>
      <c r="AE72" s="19"/>
    </row>
    <row r="73" spans="2:31" ht="12">
      <c r="B73" s="238">
        <v>37728</v>
      </c>
      <c r="C73" s="239">
        <v>5200</v>
      </c>
      <c r="D73" s="239">
        <v>6675</v>
      </c>
      <c r="E73" s="239">
        <v>3650</v>
      </c>
      <c r="F73" s="239">
        <v>27003</v>
      </c>
      <c r="G73" s="240">
        <v>15700</v>
      </c>
      <c r="H73" s="241"/>
      <c r="I73" s="245">
        <f t="shared" si="8"/>
        <v>-0.014218009478673022</v>
      </c>
      <c r="J73" s="246">
        <f t="shared" si="2"/>
        <v>-0.018382352941176516</v>
      </c>
      <c r="K73" s="246">
        <f t="shared" si="3"/>
        <v>-0.013513513513513487</v>
      </c>
      <c r="L73" s="246">
        <f t="shared" si="4"/>
        <v>-0.018179834927098848</v>
      </c>
      <c r="M73" s="247">
        <f t="shared" si="5"/>
        <v>0.02614379084967311</v>
      </c>
      <c r="V73" s="285">
        <v>20</v>
      </c>
      <c r="W73" s="282">
        <v>30.6</v>
      </c>
      <c r="X73" s="288">
        <v>0</v>
      </c>
      <c r="Y73" s="288">
        <v>0.7344343234301899</v>
      </c>
      <c r="Z73" s="288">
        <v>0</v>
      </c>
      <c r="AA73" s="288">
        <v>0</v>
      </c>
      <c r="AB73" s="289">
        <v>0.26556632216769505</v>
      </c>
      <c r="AC73" s="21"/>
      <c r="AD73" s="21"/>
      <c r="AE73" s="21"/>
    </row>
    <row r="74" spans="2:31" ht="12">
      <c r="B74" s="238">
        <v>37729</v>
      </c>
      <c r="C74" s="239">
        <v>5175</v>
      </c>
      <c r="D74" s="239">
        <v>6700</v>
      </c>
      <c r="E74" s="239">
        <v>3650</v>
      </c>
      <c r="F74" s="239">
        <v>28253</v>
      </c>
      <c r="G74" s="240">
        <v>16300</v>
      </c>
      <c r="H74" s="241"/>
      <c r="I74" s="245">
        <f t="shared" si="8"/>
        <v>-0.004807692307692291</v>
      </c>
      <c r="J74" s="246">
        <f t="shared" si="2"/>
        <v>0.0037453183520599342</v>
      </c>
      <c r="K74" s="246">
        <f t="shared" si="3"/>
        <v>0</v>
      </c>
      <c r="L74" s="246">
        <f t="shared" si="4"/>
        <v>0.046291152834870175</v>
      </c>
      <c r="M74" s="247">
        <f t="shared" si="5"/>
        <v>0.03821656050955413</v>
      </c>
      <c r="V74" s="286">
        <v>30</v>
      </c>
      <c r="W74" s="283">
        <v>27.2</v>
      </c>
      <c r="X74" s="288">
        <v>0</v>
      </c>
      <c r="Y74" s="288">
        <v>0.4739587519099645</v>
      </c>
      <c r="Z74" s="288">
        <v>0</v>
      </c>
      <c r="AA74" s="288">
        <v>0.132428477206304</v>
      </c>
      <c r="AB74" s="289">
        <v>0.39361277088373164</v>
      </c>
      <c r="AC74" s="21"/>
      <c r="AD74" s="21"/>
      <c r="AE74" s="21"/>
    </row>
    <row r="75" spans="2:31" ht="12">
      <c r="B75" s="238">
        <v>37732</v>
      </c>
      <c r="C75" s="239">
        <v>5550</v>
      </c>
      <c r="D75" s="239">
        <v>6850</v>
      </c>
      <c r="E75" s="239">
        <v>3700</v>
      </c>
      <c r="F75" s="239">
        <v>28003</v>
      </c>
      <c r="G75" s="240">
        <v>16600</v>
      </c>
      <c r="H75" s="241"/>
      <c r="I75" s="245">
        <f t="shared" si="8"/>
        <v>0.07246376811594213</v>
      </c>
      <c r="J75" s="246">
        <f t="shared" si="2"/>
        <v>0.02238805970149249</v>
      </c>
      <c r="K75" s="246">
        <f t="shared" si="3"/>
        <v>0.013698630136986356</v>
      </c>
      <c r="L75" s="246">
        <f t="shared" si="4"/>
        <v>-0.008848617845892526</v>
      </c>
      <c r="M75" s="247">
        <f t="shared" si="5"/>
        <v>0.018404907975460016</v>
      </c>
      <c r="V75" s="286">
        <v>40</v>
      </c>
      <c r="W75" s="283">
        <v>26.8</v>
      </c>
      <c r="X75" s="288">
        <v>0</v>
      </c>
      <c r="Y75" s="288">
        <v>0.27913823330409965</v>
      </c>
      <c r="Z75" s="288">
        <v>0.02514990792370642</v>
      </c>
      <c r="AA75" s="288">
        <v>0.2921326966572288</v>
      </c>
      <c r="AB75" s="289">
        <v>0.4035791621149653</v>
      </c>
      <c r="AC75" s="21"/>
      <c r="AD75" s="21"/>
      <c r="AE75" s="21"/>
    </row>
    <row r="76" spans="2:31" ht="12">
      <c r="B76" s="238">
        <v>37733</v>
      </c>
      <c r="C76" s="239">
        <v>5525</v>
      </c>
      <c r="D76" s="239">
        <v>6850</v>
      </c>
      <c r="E76" s="239">
        <v>3600</v>
      </c>
      <c r="F76" s="239">
        <v>27003</v>
      </c>
      <c r="G76" s="240">
        <v>16700</v>
      </c>
      <c r="H76" s="241"/>
      <c r="I76" s="245">
        <f t="shared" si="8"/>
        <v>-0.0045045045045044585</v>
      </c>
      <c r="J76" s="246">
        <f t="shared" si="2"/>
        <v>0</v>
      </c>
      <c r="K76" s="246">
        <f t="shared" si="3"/>
        <v>-0.027027027027026973</v>
      </c>
      <c r="L76" s="246">
        <f t="shared" si="4"/>
        <v>-0.03571045959361496</v>
      </c>
      <c r="M76" s="247">
        <f t="shared" si="5"/>
        <v>0.006024096385542244</v>
      </c>
      <c r="V76" s="286">
        <v>50</v>
      </c>
      <c r="W76" s="283">
        <v>27.8</v>
      </c>
      <c r="X76" s="288">
        <v>0</v>
      </c>
      <c r="Y76" s="288">
        <v>0.14871089910856067</v>
      </c>
      <c r="Z76" s="288">
        <v>0.13723573695534755</v>
      </c>
      <c r="AA76" s="288">
        <v>0.3071018512928896</v>
      </c>
      <c r="AB76" s="289">
        <v>0.4069515126432021</v>
      </c>
      <c r="AC76" s="21"/>
      <c r="AD76" s="21"/>
      <c r="AE76" s="21"/>
    </row>
    <row r="77" spans="2:31" ht="12">
      <c r="B77" s="238">
        <v>37735</v>
      </c>
      <c r="C77" s="239">
        <v>5525</v>
      </c>
      <c r="D77" s="239">
        <v>6750</v>
      </c>
      <c r="E77" s="239">
        <v>3475</v>
      </c>
      <c r="F77" s="239">
        <v>26253</v>
      </c>
      <c r="G77" s="240">
        <v>16200</v>
      </c>
      <c r="H77" s="241"/>
      <c r="I77" s="245">
        <f t="shared" si="8"/>
        <v>0</v>
      </c>
      <c r="J77" s="246">
        <f t="shared" si="2"/>
        <v>-0.014598540145985384</v>
      </c>
      <c r="K77" s="246">
        <f t="shared" si="3"/>
        <v>-0.03472222222222221</v>
      </c>
      <c r="L77" s="246">
        <f t="shared" si="4"/>
        <v>-0.02777469170092217</v>
      </c>
      <c r="M77" s="247">
        <f t="shared" si="5"/>
        <v>-0.029940119760479056</v>
      </c>
      <c r="V77" s="287">
        <v>60</v>
      </c>
      <c r="W77" s="284">
        <v>29.6</v>
      </c>
      <c r="X77" s="290">
        <v>0</v>
      </c>
      <c r="Y77" s="290">
        <v>0.018288894594141975</v>
      </c>
      <c r="Z77" s="290">
        <v>0.2493251852308613</v>
      </c>
      <c r="AA77" s="290">
        <v>0.3220689068746179</v>
      </c>
      <c r="AB77" s="291">
        <v>0.41031701330037884</v>
      </c>
      <c r="AC77" s="21"/>
      <c r="AD77" s="21"/>
      <c r="AE77" s="21"/>
    </row>
    <row r="78" spans="2:31" ht="12">
      <c r="B78" s="238">
        <v>37736</v>
      </c>
      <c r="C78" s="239">
        <v>5375</v>
      </c>
      <c r="D78" s="239">
        <v>6800</v>
      </c>
      <c r="E78" s="239">
        <v>3700</v>
      </c>
      <c r="F78" s="239">
        <v>26753</v>
      </c>
      <c r="G78" s="240">
        <v>17000</v>
      </c>
      <c r="H78" s="241"/>
      <c r="I78" s="245">
        <f t="shared" si="8"/>
        <v>-0.02714932126696834</v>
      </c>
      <c r="J78" s="246">
        <f t="shared" si="2"/>
        <v>0.007407407407407307</v>
      </c>
      <c r="K78" s="246">
        <f t="shared" si="3"/>
        <v>0.06474820143884896</v>
      </c>
      <c r="L78" s="246">
        <f t="shared" si="4"/>
        <v>0.019045442425627446</v>
      </c>
      <c r="M78" s="247">
        <f t="shared" si="5"/>
        <v>0.04938271604938271</v>
      </c>
      <c r="W78" s="21"/>
      <c r="X78" s="21"/>
      <c r="Y78" s="21"/>
      <c r="Z78" s="21"/>
      <c r="AA78" s="21"/>
      <c r="AB78" s="21"/>
      <c r="AC78" s="21"/>
      <c r="AD78" s="21"/>
      <c r="AE78" s="21"/>
    </row>
    <row r="79" spans="2:31" ht="12">
      <c r="B79" s="238">
        <v>37739</v>
      </c>
      <c r="C79" s="239">
        <v>5425</v>
      </c>
      <c r="D79" s="239">
        <v>6750</v>
      </c>
      <c r="E79" s="239">
        <v>3700</v>
      </c>
      <c r="F79" s="239">
        <v>26253</v>
      </c>
      <c r="G79" s="240">
        <v>17000</v>
      </c>
      <c r="H79" s="241"/>
      <c r="I79" s="245">
        <f t="shared" si="8"/>
        <v>0.009302325581395321</v>
      </c>
      <c r="J79" s="246">
        <f t="shared" si="2"/>
        <v>-0.007352941176470562</v>
      </c>
      <c r="K79" s="246">
        <f t="shared" si="3"/>
        <v>0</v>
      </c>
      <c r="L79" s="246">
        <f t="shared" si="4"/>
        <v>-0.01868949276716625</v>
      </c>
      <c r="M79" s="247">
        <f t="shared" si="5"/>
        <v>0</v>
      </c>
      <c r="V79" s="295" t="s">
        <v>92</v>
      </c>
      <c r="W79" s="21"/>
      <c r="X79" s="21"/>
      <c r="Y79" s="21"/>
      <c r="Z79" s="21"/>
      <c r="AA79" s="21"/>
      <c r="AB79" s="21"/>
      <c r="AC79" s="21"/>
      <c r="AD79" s="21"/>
      <c r="AE79" s="21"/>
    </row>
    <row r="80" spans="2:31" ht="12">
      <c r="B80" s="238">
        <v>37740</v>
      </c>
      <c r="C80" s="239">
        <v>5425</v>
      </c>
      <c r="D80" s="239">
        <v>6800</v>
      </c>
      <c r="E80" s="239">
        <v>3700</v>
      </c>
      <c r="F80" s="239">
        <v>27253</v>
      </c>
      <c r="G80" s="240">
        <v>17200</v>
      </c>
      <c r="H80" s="241"/>
      <c r="I80" s="245">
        <f t="shared" si="8"/>
        <v>0</v>
      </c>
      <c r="J80" s="246">
        <f t="shared" si="2"/>
        <v>0.007407407407407307</v>
      </c>
      <c r="K80" s="246">
        <f t="shared" si="3"/>
        <v>0</v>
      </c>
      <c r="L80" s="246">
        <f t="shared" si="4"/>
        <v>0.038090884851255113</v>
      </c>
      <c r="M80" s="247">
        <f t="shared" si="5"/>
        <v>0.0117647058823529</v>
      </c>
      <c r="W80" s="21"/>
      <c r="X80" s="21"/>
      <c r="Y80" s="21"/>
      <c r="Z80" s="21"/>
      <c r="AA80" s="21"/>
      <c r="AB80" s="21"/>
      <c r="AC80" s="21"/>
      <c r="AD80" s="21"/>
      <c r="AE80" s="21"/>
    </row>
    <row r="81" spans="2:31" ht="12">
      <c r="B81" s="238">
        <v>37741</v>
      </c>
      <c r="C81" s="239">
        <v>5350</v>
      </c>
      <c r="D81" s="239">
        <v>6700</v>
      </c>
      <c r="E81" s="239">
        <v>3775</v>
      </c>
      <c r="F81" s="239">
        <v>27253</v>
      </c>
      <c r="G81" s="240">
        <v>17100</v>
      </c>
      <c r="H81" s="241"/>
      <c r="I81" s="245">
        <f t="shared" si="8"/>
        <v>-0.01382488479262678</v>
      </c>
      <c r="J81" s="246">
        <f t="shared" si="2"/>
        <v>-0.014705882352941124</v>
      </c>
      <c r="K81" s="246">
        <f t="shared" si="3"/>
        <v>0.020270270270270174</v>
      </c>
      <c r="L81" s="246">
        <f t="shared" si="4"/>
        <v>0</v>
      </c>
      <c r="M81" s="247">
        <f t="shared" si="5"/>
        <v>-0.005813953488372103</v>
      </c>
      <c r="W81" s="21"/>
      <c r="X81" s="21"/>
      <c r="Y81" s="21"/>
      <c r="Z81" s="21"/>
      <c r="AA81" s="21"/>
      <c r="AB81" s="21"/>
      <c r="AC81" s="21"/>
      <c r="AD81" s="21"/>
      <c r="AE81" s="21"/>
    </row>
    <row r="82" spans="2:31" ht="12">
      <c r="B82" s="238">
        <v>37742</v>
      </c>
      <c r="C82" s="239">
        <v>5275</v>
      </c>
      <c r="D82" s="239">
        <v>6700</v>
      </c>
      <c r="E82" s="239">
        <v>3775</v>
      </c>
      <c r="F82" s="239">
        <v>27003</v>
      </c>
      <c r="G82" s="240">
        <v>16800</v>
      </c>
      <c r="H82" s="241"/>
      <c r="I82" s="245">
        <f t="shared" si="8"/>
        <v>-0.014018691588784993</v>
      </c>
      <c r="J82" s="246">
        <f t="shared" si="2"/>
        <v>0</v>
      </c>
      <c r="K82" s="246">
        <f t="shared" si="3"/>
        <v>0</v>
      </c>
      <c r="L82" s="246">
        <f t="shared" si="4"/>
        <v>-0.009173302021795782</v>
      </c>
      <c r="M82" s="247">
        <f t="shared" si="5"/>
        <v>-0.01754385964912286</v>
      </c>
      <c r="W82" s="21"/>
      <c r="X82" s="21"/>
      <c r="Y82" s="21"/>
      <c r="Z82" s="21"/>
      <c r="AA82" s="21"/>
      <c r="AB82" s="21"/>
      <c r="AC82" s="21"/>
      <c r="AD82" s="21"/>
      <c r="AE82" s="21"/>
    </row>
    <row r="83" spans="2:13" ht="12">
      <c r="B83" s="238">
        <v>37743</v>
      </c>
      <c r="C83" s="239">
        <v>5175</v>
      </c>
      <c r="D83" s="239">
        <v>6575</v>
      </c>
      <c r="E83" s="239">
        <v>3700</v>
      </c>
      <c r="F83" s="239">
        <v>26753</v>
      </c>
      <c r="G83" s="240">
        <v>16600</v>
      </c>
      <c r="H83" s="241"/>
      <c r="I83" s="245">
        <f t="shared" si="8"/>
        <v>-0.018957345971563955</v>
      </c>
      <c r="J83" s="246">
        <f t="shared" si="2"/>
        <v>-0.018656716417910446</v>
      </c>
      <c r="K83" s="246">
        <f t="shared" si="3"/>
        <v>-0.019867549668874163</v>
      </c>
      <c r="L83" s="246">
        <f t="shared" si="4"/>
        <v>-0.009258230566974057</v>
      </c>
      <c r="M83" s="247">
        <f t="shared" si="5"/>
        <v>-0.011904761904761862</v>
      </c>
    </row>
    <row r="84" spans="2:13" ht="12">
      <c r="B84" s="238">
        <v>37746</v>
      </c>
      <c r="C84" s="239">
        <v>5175</v>
      </c>
      <c r="D84" s="239">
        <v>6450</v>
      </c>
      <c r="E84" s="239">
        <v>3600</v>
      </c>
      <c r="F84" s="239">
        <v>26503</v>
      </c>
      <c r="G84" s="240">
        <v>14000</v>
      </c>
      <c r="H84" s="241"/>
      <c r="I84" s="245">
        <f t="shared" si="8"/>
        <v>0</v>
      </c>
      <c r="J84" s="246">
        <f aca="true" t="shared" si="9" ref="J84:J147">D84/D83-1</f>
        <v>-0.019011406844106515</v>
      </c>
      <c r="K84" s="246">
        <f aca="true" t="shared" si="10" ref="K84:K147">E84/E83-1</f>
        <v>-0.027027027027026973</v>
      </c>
      <c r="L84" s="246">
        <f aca="true" t="shared" si="11" ref="L84:L147">F84/F83-1</f>
        <v>-0.00934474638358318</v>
      </c>
      <c r="M84" s="247">
        <f aca="true" t="shared" si="12" ref="M84:M147">G84/G83-1</f>
        <v>-0.15662650602409633</v>
      </c>
    </row>
    <row r="85" spans="2:13" ht="12">
      <c r="B85" s="238">
        <v>37747</v>
      </c>
      <c r="C85" s="239">
        <v>5250</v>
      </c>
      <c r="D85" s="239">
        <v>6400</v>
      </c>
      <c r="E85" s="239">
        <v>3600</v>
      </c>
      <c r="F85" s="239">
        <v>26003</v>
      </c>
      <c r="G85" s="240">
        <v>14600</v>
      </c>
      <c r="H85" s="241"/>
      <c r="I85" s="245">
        <f t="shared" si="8"/>
        <v>0.01449275362318847</v>
      </c>
      <c r="J85" s="246">
        <f t="shared" si="9"/>
        <v>-0.007751937984496138</v>
      </c>
      <c r="K85" s="246">
        <f t="shared" si="10"/>
        <v>0</v>
      </c>
      <c r="L85" s="246">
        <f t="shared" si="11"/>
        <v>-0.018865788778628878</v>
      </c>
      <c r="M85" s="247">
        <f t="shared" si="12"/>
        <v>0.04285714285714293</v>
      </c>
    </row>
    <row r="86" spans="2:13" ht="12">
      <c r="B86" s="238">
        <v>37748</v>
      </c>
      <c r="C86" s="239">
        <v>5000</v>
      </c>
      <c r="D86" s="239">
        <v>6275</v>
      </c>
      <c r="E86" s="239">
        <v>3525</v>
      </c>
      <c r="F86" s="239">
        <v>26253</v>
      </c>
      <c r="G86" s="240">
        <v>14000</v>
      </c>
      <c r="H86" s="241"/>
      <c r="I86" s="245">
        <f t="shared" si="8"/>
        <v>-0.04761904761904767</v>
      </c>
      <c r="J86" s="246">
        <f t="shared" si="9"/>
        <v>-0.01953125</v>
      </c>
      <c r="K86" s="246">
        <f t="shared" si="10"/>
        <v>-0.02083333333333337</v>
      </c>
      <c r="L86" s="246">
        <f t="shared" si="11"/>
        <v>0.009614275275929618</v>
      </c>
      <c r="M86" s="247">
        <f t="shared" si="12"/>
        <v>-0.04109589041095896</v>
      </c>
    </row>
    <row r="87" spans="2:13" ht="12">
      <c r="B87" s="238">
        <v>37749</v>
      </c>
      <c r="C87" s="239">
        <v>5100</v>
      </c>
      <c r="D87" s="239">
        <v>6350</v>
      </c>
      <c r="E87" s="239">
        <v>3575</v>
      </c>
      <c r="F87" s="239">
        <v>26753</v>
      </c>
      <c r="G87" s="240">
        <v>15100</v>
      </c>
      <c r="H87" s="241"/>
      <c r="I87" s="245">
        <f t="shared" si="8"/>
        <v>0.020000000000000018</v>
      </c>
      <c r="J87" s="246">
        <f t="shared" si="9"/>
        <v>0.01195219123505975</v>
      </c>
      <c r="K87" s="246">
        <f t="shared" si="10"/>
        <v>0.014184397163120588</v>
      </c>
      <c r="L87" s="246">
        <f t="shared" si="11"/>
        <v>0.019045442425627446</v>
      </c>
      <c r="M87" s="247">
        <f t="shared" si="12"/>
        <v>0.07857142857142851</v>
      </c>
    </row>
    <row r="88" spans="2:13" ht="12">
      <c r="B88" s="238">
        <v>37750</v>
      </c>
      <c r="C88" s="239">
        <v>4925</v>
      </c>
      <c r="D88" s="239">
        <v>6125</v>
      </c>
      <c r="E88" s="239">
        <v>3500</v>
      </c>
      <c r="F88" s="239">
        <v>26253</v>
      </c>
      <c r="G88" s="240">
        <v>16000</v>
      </c>
      <c r="H88" s="241"/>
      <c r="I88" s="245">
        <f t="shared" si="8"/>
        <v>-0.03431372549019607</v>
      </c>
      <c r="J88" s="246">
        <f t="shared" si="9"/>
        <v>-0.03543307086614178</v>
      </c>
      <c r="K88" s="246">
        <f t="shared" si="10"/>
        <v>-0.020979020979020935</v>
      </c>
      <c r="L88" s="246">
        <f t="shared" si="11"/>
        <v>-0.01868949276716625</v>
      </c>
      <c r="M88" s="247">
        <f t="shared" si="12"/>
        <v>0.0596026490066226</v>
      </c>
    </row>
    <row r="89" spans="2:13" ht="12">
      <c r="B89" s="238">
        <v>37753</v>
      </c>
      <c r="C89" s="239">
        <v>5000</v>
      </c>
      <c r="D89" s="239">
        <v>6125</v>
      </c>
      <c r="E89" s="239">
        <v>3525</v>
      </c>
      <c r="F89" s="239">
        <v>26503</v>
      </c>
      <c r="G89" s="240">
        <v>17100</v>
      </c>
      <c r="H89" s="241"/>
      <c r="I89" s="245">
        <f t="shared" si="8"/>
        <v>0.015228426395939021</v>
      </c>
      <c r="J89" s="246">
        <f t="shared" si="9"/>
        <v>0</v>
      </c>
      <c r="K89" s="246">
        <f t="shared" si="10"/>
        <v>0.0071428571428571175</v>
      </c>
      <c r="L89" s="246">
        <f t="shared" si="11"/>
        <v>0.009522721212813723</v>
      </c>
      <c r="M89" s="247">
        <f t="shared" si="12"/>
        <v>0.06875000000000009</v>
      </c>
    </row>
    <row r="90" spans="2:13" ht="12">
      <c r="B90" s="238">
        <v>37754</v>
      </c>
      <c r="C90" s="239">
        <v>4900</v>
      </c>
      <c r="D90" s="239">
        <v>5950</v>
      </c>
      <c r="E90" s="239">
        <v>3525</v>
      </c>
      <c r="F90" s="239">
        <v>26503</v>
      </c>
      <c r="G90" s="240">
        <v>16500</v>
      </c>
      <c r="H90" s="241"/>
      <c r="I90" s="245">
        <f t="shared" si="8"/>
        <v>-0.020000000000000018</v>
      </c>
      <c r="J90" s="246">
        <f t="shared" si="9"/>
        <v>-0.02857142857142858</v>
      </c>
      <c r="K90" s="246">
        <f t="shared" si="10"/>
        <v>0</v>
      </c>
      <c r="L90" s="246">
        <f t="shared" si="11"/>
        <v>0</v>
      </c>
      <c r="M90" s="247">
        <f t="shared" si="12"/>
        <v>-0.03508771929824561</v>
      </c>
    </row>
    <row r="91" spans="2:13" ht="12">
      <c r="B91" s="238">
        <v>37755</v>
      </c>
      <c r="C91" s="239">
        <v>4750</v>
      </c>
      <c r="D91" s="239">
        <v>5825</v>
      </c>
      <c r="E91" s="239">
        <v>3475</v>
      </c>
      <c r="F91" s="239">
        <v>26503</v>
      </c>
      <c r="G91" s="240">
        <v>16400</v>
      </c>
      <c r="H91" s="241"/>
      <c r="I91" s="245">
        <f t="shared" si="8"/>
        <v>-0.030612244897959218</v>
      </c>
      <c r="J91" s="246">
        <f t="shared" si="9"/>
        <v>-0.021008403361344574</v>
      </c>
      <c r="K91" s="246">
        <f t="shared" si="10"/>
        <v>-0.014184397163120588</v>
      </c>
      <c r="L91" s="246">
        <f t="shared" si="11"/>
        <v>0</v>
      </c>
      <c r="M91" s="247">
        <f t="shared" si="12"/>
        <v>-0.0060606060606061</v>
      </c>
    </row>
    <row r="92" spans="2:13" ht="12">
      <c r="B92" s="238">
        <v>37756</v>
      </c>
      <c r="C92" s="239">
        <v>4750</v>
      </c>
      <c r="D92" s="239">
        <v>5775</v>
      </c>
      <c r="E92" s="239">
        <v>3375</v>
      </c>
      <c r="F92" s="239">
        <v>26253</v>
      </c>
      <c r="G92" s="240">
        <v>16200</v>
      </c>
      <c r="H92" s="241"/>
      <c r="I92" s="245">
        <f t="shared" si="8"/>
        <v>0</v>
      </c>
      <c r="J92" s="246">
        <f t="shared" si="9"/>
        <v>-0.008583690987124415</v>
      </c>
      <c r="K92" s="246">
        <f t="shared" si="10"/>
        <v>-0.02877697841726623</v>
      </c>
      <c r="L92" s="246">
        <f t="shared" si="11"/>
        <v>-0.009432894389314384</v>
      </c>
      <c r="M92" s="247">
        <f t="shared" si="12"/>
        <v>-0.012195121951219523</v>
      </c>
    </row>
    <row r="93" spans="2:13" ht="12">
      <c r="B93" s="238">
        <v>37757</v>
      </c>
      <c r="C93" s="239">
        <v>4725</v>
      </c>
      <c r="D93" s="239">
        <v>5825</v>
      </c>
      <c r="E93" s="239">
        <v>3300</v>
      </c>
      <c r="F93" s="239">
        <v>26253</v>
      </c>
      <c r="G93" s="240">
        <v>16600</v>
      </c>
      <c r="H93" s="241"/>
      <c r="I93" s="245">
        <f t="shared" si="8"/>
        <v>-0.0052631578947368585</v>
      </c>
      <c r="J93" s="246">
        <f t="shared" si="9"/>
        <v>0.008658008658008587</v>
      </c>
      <c r="K93" s="246">
        <f t="shared" si="10"/>
        <v>-0.022222222222222254</v>
      </c>
      <c r="L93" s="246">
        <f t="shared" si="11"/>
        <v>0</v>
      </c>
      <c r="M93" s="247">
        <f t="shared" si="12"/>
        <v>0.024691358024691468</v>
      </c>
    </row>
    <row r="94" spans="2:13" ht="12">
      <c r="B94" s="238">
        <v>37761</v>
      </c>
      <c r="C94" s="239">
        <v>4750</v>
      </c>
      <c r="D94" s="239">
        <v>5875</v>
      </c>
      <c r="E94" s="239">
        <v>3250</v>
      </c>
      <c r="F94" s="239">
        <v>25753</v>
      </c>
      <c r="G94" s="240">
        <v>16700</v>
      </c>
      <c r="H94" s="241"/>
      <c r="I94" s="245">
        <f t="shared" si="8"/>
        <v>0.005291005291005346</v>
      </c>
      <c r="J94" s="246">
        <f t="shared" si="9"/>
        <v>0.008583690987124415</v>
      </c>
      <c r="K94" s="246">
        <f t="shared" si="10"/>
        <v>-0.015151515151515138</v>
      </c>
      <c r="L94" s="246">
        <f t="shared" si="11"/>
        <v>-0.019045442425627557</v>
      </c>
      <c r="M94" s="247">
        <f t="shared" si="12"/>
        <v>0.006024096385542244</v>
      </c>
    </row>
    <row r="95" spans="2:13" ht="12">
      <c r="B95" s="238">
        <v>37762</v>
      </c>
      <c r="C95" s="239">
        <v>4850</v>
      </c>
      <c r="D95" s="239">
        <v>5875</v>
      </c>
      <c r="E95" s="239">
        <v>3300</v>
      </c>
      <c r="F95" s="239">
        <v>25753</v>
      </c>
      <c r="G95" s="240">
        <v>16200</v>
      </c>
      <c r="H95" s="241"/>
      <c r="I95" s="245">
        <f t="shared" si="8"/>
        <v>0.021052631578947434</v>
      </c>
      <c r="J95" s="246">
        <f t="shared" si="9"/>
        <v>0</v>
      </c>
      <c r="K95" s="246">
        <f t="shared" si="10"/>
        <v>0.01538461538461533</v>
      </c>
      <c r="L95" s="246">
        <f t="shared" si="11"/>
        <v>0</v>
      </c>
      <c r="M95" s="247">
        <f t="shared" si="12"/>
        <v>-0.029940119760479056</v>
      </c>
    </row>
    <row r="96" spans="2:13" ht="12">
      <c r="B96" s="238">
        <v>37763</v>
      </c>
      <c r="C96" s="239">
        <v>5000</v>
      </c>
      <c r="D96" s="239">
        <v>6000</v>
      </c>
      <c r="E96" s="239">
        <v>3325</v>
      </c>
      <c r="F96" s="239">
        <v>25253</v>
      </c>
      <c r="G96" s="240">
        <v>16400</v>
      </c>
      <c r="H96" s="241"/>
      <c r="I96" s="245">
        <f t="shared" si="8"/>
        <v>0.030927835051546282</v>
      </c>
      <c r="J96" s="246">
        <f t="shared" si="9"/>
        <v>0.02127659574468077</v>
      </c>
      <c r="K96" s="246">
        <f t="shared" si="10"/>
        <v>0.007575757575757569</v>
      </c>
      <c r="L96" s="246">
        <f t="shared" si="11"/>
        <v>-0.01941521376150357</v>
      </c>
      <c r="M96" s="247">
        <f t="shared" si="12"/>
        <v>0.012345679012345734</v>
      </c>
    </row>
    <row r="97" spans="2:13" ht="12">
      <c r="B97" s="238">
        <v>37764</v>
      </c>
      <c r="C97" s="239">
        <v>5250</v>
      </c>
      <c r="D97" s="239">
        <v>6075</v>
      </c>
      <c r="E97" s="239">
        <v>3500</v>
      </c>
      <c r="F97" s="239">
        <v>25128</v>
      </c>
      <c r="G97" s="240">
        <v>16400</v>
      </c>
      <c r="H97" s="241"/>
      <c r="I97" s="245">
        <f t="shared" si="8"/>
        <v>0.050000000000000044</v>
      </c>
      <c r="J97" s="246">
        <f t="shared" si="9"/>
        <v>0.012499999999999956</v>
      </c>
      <c r="K97" s="246">
        <f t="shared" si="10"/>
        <v>0.05263157894736836</v>
      </c>
      <c r="L97" s="246">
        <f t="shared" si="11"/>
        <v>-0.00494990694174946</v>
      </c>
      <c r="M97" s="247">
        <f t="shared" si="12"/>
        <v>0</v>
      </c>
    </row>
    <row r="98" spans="2:13" ht="12">
      <c r="B98" s="238">
        <v>37767</v>
      </c>
      <c r="C98" s="239">
        <v>5425</v>
      </c>
      <c r="D98" s="239">
        <v>6050</v>
      </c>
      <c r="E98" s="239">
        <v>3500</v>
      </c>
      <c r="F98" s="239">
        <v>25002</v>
      </c>
      <c r="G98" s="240">
        <v>16300</v>
      </c>
      <c r="H98" s="241"/>
      <c r="I98" s="245">
        <f t="shared" si="8"/>
        <v>0.03333333333333344</v>
      </c>
      <c r="J98" s="246">
        <f t="shared" si="9"/>
        <v>-0.004115226337448541</v>
      </c>
      <c r="K98" s="246">
        <f t="shared" si="10"/>
        <v>0</v>
      </c>
      <c r="L98" s="246">
        <f t="shared" si="11"/>
        <v>-0.005014326647564515</v>
      </c>
      <c r="M98" s="247">
        <f t="shared" si="12"/>
        <v>-0.0060975609756097615</v>
      </c>
    </row>
    <row r="99" spans="2:13" ht="12">
      <c r="B99" s="238">
        <v>37768</v>
      </c>
      <c r="C99" s="239">
        <v>5375</v>
      </c>
      <c r="D99" s="239">
        <v>6125</v>
      </c>
      <c r="E99" s="239">
        <v>3500</v>
      </c>
      <c r="F99" s="239">
        <v>25002</v>
      </c>
      <c r="G99" s="240">
        <v>16300</v>
      </c>
      <c r="H99" s="241"/>
      <c r="I99" s="245">
        <f t="shared" si="8"/>
        <v>-0.009216589861751112</v>
      </c>
      <c r="J99" s="246">
        <f t="shared" si="9"/>
        <v>0.012396694214876103</v>
      </c>
      <c r="K99" s="246">
        <f t="shared" si="10"/>
        <v>0</v>
      </c>
      <c r="L99" s="246">
        <f t="shared" si="11"/>
        <v>0</v>
      </c>
      <c r="M99" s="247">
        <f t="shared" si="12"/>
        <v>0</v>
      </c>
    </row>
    <row r="100" spans="2:13" ht="12">
      <c r="B100" s="238">
        <v>37769</v>
      </c>
      <c r="C100" s="239">
        <v>5450</v>
      </c>
      <c r="D100" s="239">
        <v>6175</v>
      </c>
      <c r="E100" s="239">
        <v>3675</v>
      </c>
      <c r="F100" s="239">
        <v>25682</v>
      </c>
      <c r="G100" s="240">
        <v>16400</v>
      </c>
      <c r="H100" s="241"/>
      <c r="I100" s="245">
        <f t="shared" si="8"/>
        <v>0.013953488372093092</v>
      </c>
      <c r="J100" s="246">
        <f t="shared" si="9"/>
        <v>0.008163265306122547</v>
      </c>
      <c r="K100" s="246">
        <f t="shared" si="10"/>
        <v>0.050000000000000044</v>
      </c>
      <c r="L100" s="246">
        <f t="shared" si="11"/>
        <v>0.02719782417406602</v>
      </c>
      <c r="M100" s="247">
        <f t="shared" si="12"/>
        <v>0.006134969325153339</v>
      </c>
    </row>
    <row r="101" spans="2:13" ht="12">
      <c r="B101" s="238">
        <v>37770</v>
      </c>
      <c r="C101" s="239">
        <v>5450</v>
      </c>
      <c r="D101" s="239">
        <v>6250</v>
      </c>
      <c r="E101" s="239">
        <v>3575</v>
      </c>
      <c r="F101" s="239">
        <v>25431</v>
      </c>
      <c r="G101" s="240">
        <v>16200</v>
      </c>
      <c r="H101" s="241"/>
      <c r="I101" s="245">
        <f t="shared" si="8"/>
        <v>0</v>
      </c>
      <c r="J101" s="246">
        <f t="shared" si="9"/>
        <v>0.012145748987854255</v>
      </c>
      <c r="K101" s="246">
        <f t="shared" si="10"/>
        <v>-0.027210884353741527</v>
      </c>
      <c r="L101" s="246">
        <f t="shared" si="11"/>
        <v>-0.00977338213534773</v>
      </c>
      <c r="M101" s="247">
        <f t="shared" si="12"/>
        <v>-0.012195121951219523</v>
      </c>
    </row>
    <row r="102" spans="2:13" ht="12">
      <c r="B102" s="238">
        <v>37771</v>
      </c>
      <c r="C102" s="239">
        <v>5500</v>
      </c>
      <c r="D102" s="239">
        <v>6350</v>
      </c>
      <c r="E102" s="239">
        <v>3575</v>
      </c>
      <c r="F102" s="239">
        <v>25934</v>
      </c>
      <c r="G102" s="240">
        <v>16500</v>
      </c>
      <c r="H102" s="241"/>
      <c r="I102" s="245">
        <f t="shared" si="8"/>
        <v>0.00917431192660545</v>
      </c>
      <c r="J102" s="246">
        <f t="shared" si="9"/>
        <v>0.016000000000000014</v>
      </c>
      <c r="K102" s="246">
        <f t="shared" si="10"/>
        <v>0</v>
      </c>
      <c r="L102" s="246">
        <f t="shared" si="11"/>
        <v>0.019779009869843822</v>
      </c>
      <c r="M102" s="247">
        <f t="shared" si="12"/>
        <v>0.0185185185185186</v>
      </c>
    </row>
    <row r="103" spans="2:13" ht="12">
      <c r="B103" s="238">
        <v>37774</v>
      </c>
      <c r="C103" s="239">
        <v>5550</v>
      </c>
      <c r="D103" s="239">
        <v>6350</v>
      </c>
      <c r="E103" s="239">
        <v>3750</v>
      </c>
      <c r="F103" s="239">
        <v>27193</v>
      </c>
      <c r="G103" s="240">
        <v>17200</v>
      </c>
      <c r="H103" s="241"/>
      <c r="I103" s="245">
        <f t="shared" si="8"/>
        <v>0.009090909090909038</v>
      </c>
      <c r="J103" s="246">
        <f t="shared" si="9"/>
        <v>0</v>
      </c>
      <c r="K103" s="246">
        <f t="shared" si="10"/>
        <v>0.04895104895104896</v>
      </c>
      <c r="L103" s="246">
        <f t="shared" si="11"/>
        <v>0.048546309863499726</v>
      </c>
      <c r="M103" s="247">
        <f t="shared" si="12"/>
        <v>0.042424242424242475</v>
      </c>
    </row>
    <row r="104" spans="2:13" ht="12">
      <c r="B104" s="238">
        <v>37775</v>
      </c>
      <c r="C104" s="239">
        <v>5350</v>
      </c>
      <c r="D104" s="239">
        <v>6200</v>
      </c>
      <c r="E104" s="239">
        <v>3675</v>
      </c>
      <c r="F104" s="239">
        <v>26689</v>
      </c>
      <c r="G104" s="240">
        <v>17000</v>
      </c>
      <c r="H104" s="241"/>
      <c r="I104" s="245">
        <f t="shared" si="8"/>
        <v>-0.036036036036036</v>
      </c>
      <c r="J104" s="246">
        <f t="shared" si="9"/>
        <v>-0.023622047244094446</v>
      </c>
      <c r="K104" s="246">
        <f t="shared" si="10"/>
        <v>-0.020000000000000018</v>
      </c>
      <c r="L104" s="246">
        <f t="shared" si="11"/>
        <v>-0.01853418159085063</v>
      </c>
      <c r="M104" s="247">
        <f t="shared" si="12"/>
        <v>-0.011627906976744207</v>
      </c>
    </row>
    <row r="105" spans="2:13" ht="12">
      <c r="B105" s="238">
        <v>37776</v>
      </c>
      <c r="C105" s="239">
        <v>5200</v>
      </c>
      <c r="D105" s="239">
        <v>6000</v>
      </c>
      <c r="E105" s="239">
        <v>3600</v>
      </c>
      <c r="F105" s="239">
        <v>26186</v>
      </c>
      <c r="G105" s="240">
        <v>16600</v>
      </c>
      <c r="H105" s="241"/>
      <c r="I105" s="245">
        <f t="shared" si="8"/>
        <v>-0.028037383177570097</v>
      </c>
      <c r="J105" s="246">
        <f t="shared" si="9"/>
        <v>-0.032258064516129004</v>
      </c>
      <c r="K105" s="246">
        <f t="shared" si="10"/>
        <v>-0.020408163265306145</v>
      </c>
      <c r="L105" s="246">
        <f t="shared" si="11"/>
        <v>-0.01884671587545428</v>
      </c>
      <c r="M105" s="247">
        <f t="shared" si="12"/>
        <v>-0.02352941176470591</v>
      </c>
    </row>
    <row r="106" spans="2:13" ht="12">
      <c r="B106" s="238">
        <v>37777</v>
      </c>
      <c r="C106" s="239">
        <v>5300</v>
      </c>
      <c r="D106" s="239">
        <v>6000</v>
      </c>
      <c r="E106" s="239">
        <v>3600</v>
      </c>
      <c r="F106" s="239">
        <v>26689</v>
      </c>
      <c r="G106" s="240">
        <v>16800</v>
      </c>
      <c r="H106" s="241"/>
      <c r="I106" s="245">
        <f t="shared" si="8"/>
        <v>0.019230769230769162</v>
      </c>
      <c r="J106" s="246">
        <f t="shared" si="9"/>
        <v>0</v>
      </c>
      <c r="K106" s="246">
        <f t="shared" si="10"/>
        <v>0</v>
      </c>
      <c r="L106" s="246">
        <f t="shared" si="11"/>
        <v>0.019208737493316974</v>
      </c>
      <c r="M106" s="247">
        <f t="shared" si="12"/>
        <v>0.012048192771084265</v>
      </c>
    </row>
    <row r="107" spans="2:13" ht="12">
      <c r="B107" s="238">
        <v>37778</v>
      </c>
      <c r="C107" s="239">
        <v>5200</v>
      </c>
      <c r="D107" s="239">
        <v>5900</v>
      </c>
      <c r="E107" s="239">
        <v>3575</v>
      </c>
      <c r="F107" s="239">
        <v>25934</v>
      </c>
      <c r="G107" s="240">
        <v>16800</v>
      </c>
      <c r="H107" s="241"/>
      <c r="I107" s="245">
        <f t="shared" si="8"/>
        <v>-0.018867924528301883</v>
      </c>
      <c r="J107" s="246">
        <f t="shared" si="9"/>
        <v>-0.01666666666666672</v>
      </c>
      <c r="K107" s="246">
        <f t="shared" si="10"/>
        <v>-0.00694444444444442</v>
      </c>
      <c r="L107" s="246">
        <f t="shared" si="11"/>
        <v>-0.028288808123196785</v>
      </c>
      <c r="M107" s="247">
        <f t="shared" si="12"/>
        <v>0</v>
      </c>
    </row>
    <row r="108" spans="2:13" ht="12">
      <c r="B108" s="238">
        <v>37781</v>
      </c>
      <c r="C108" s="239">
        <v>5050</v>
      </c>
      <c r="D108" s="239">
        <v>5800</v>
      </c>
      <c r="E108" s="239">
        <v>3575</v>
      </c>
      <c r="F108" s="239">
        <v>25179</v>
      </c>
      <c r="G108" s="240">
        <v>16600</v>
      </c>
      <c r="H108" s="241"/>
      <c r="I108" s="245">
        <f t="shared" si="8"/>
        <v>-0.028846153846153855</v>
      </c>
      <c r="J108" s="246">
        <f t="shared" si="9"/>
        <v>-0.016949152542372836</v>
      </c>
      <c r="K108" s="246">
        <f t="shared" si="10"/>
        <v>0</v>
      </c>
      <c r="L108" s="246">
        <f t="shared" si="11"/>
        <v>-0.02911236215007329</v>
      </c>
      <c r="M108" s="247">
        <f t="shared" si="12"/>
        <v>-0.011904761904761862</v>
      </c>
    </row>
    <row r="109" spans="2:13" ht="12">
      <c r="B109" s="238">
        <v>37782</v>
      </c>
      <c r="C109" s="239">
        <v>5000</v>
      </c>
      <c r="D109" s="239">
        <v>5750</v>
      </c>
      <c r="E109" s="239">
        <v>3500</v>
      </c>
      <c r="F109" s="239">
        <v>24423</v>
      </c>
      <c r="G109" s="240">
        <v>16600</v>
      </c>
      <c r="H109" s="241"/>
      <c r="I109" s="245">
        <f t="shared" si="8"/>
        <v>-0.00990099009900991</v>
      </c>
      <c r="J109" s="246">
        <f t="shared" si="9"/>
        <v>-0.008620689655172376</v>
      </c>
      <c r="K109" s="246">
        <f t="shared" si="10"/>
        <v>-0.020979020979020935</v>
      </c>
      <c r="L109" s="246">
        <f t="shared" si="11"/>
        <v>-0.030025020850708906</v>
      </c>
      <c r="M109" s="247">
        <f t="shared" si="12"/>
        <v>0</v>
      </c>
    </row>
    <row r="110" spans="2:13" ht="12">
      <c r="B110" s="238">
        <v>37783</v>
      </c>
      <c r="C110" s="239">
        <v>4950</v>
      </c>
      <c r="D110" s="239">
        <v>5750</v>
      </c>
      <c r="E110" s="239">
        <v>3500</v>
      </c>
      <c r="F110" s="239">
        <v>24046</v>
      </c>
      <c r="G110" s="240">
        <v>16600</v>
      </c>
      <c r="H110" s="241"/>
      <c r="I110" s="245">
        <f t="shared" si="8"/>
        <v>-0.010000000000000009</v>
      </c>
      <c r="J110" s="246">
        <f t="shared" si="9"/>
        <v>0</v>
      </c>
      <c r="K110" s="246">
        <f t="shared" si="10"/>
        <v>0</v>
      </c>
      <c r="L110" s="246">
        <f t="shared" si="11"/>
        <v>-0.015436269090611354</v>
      </c>
      <c r="M110" s="247">
        <f t="shared" si="12"/>
        <v>0</v>
      </c>
    </row>
    <row r="111" spans="2:13" ht="12">
      <c r="B111" s="238">
        <v>37784</v>
      </c>
      <c r="C111" s="239">
        <v>4875</v>
      </c>
      <c r="D111" s="239">
        <v>5600</v>
      </c>
      <c r="E111" s="239">
        <v>3500</v>
      </c>
      <c r="F111" s="239">
        <v>24046</v>
      </c>
      <c r="G111" s="240">
        <v>16700</v>
      </c>
      <c r="H111" s="241"/>
      <c r="I111" s="245">
        <f t="shared" si="8"/>
        <v>-0.015151515151515138</v>
      </c>
      <c r="J111" s="246">
        <f t="shared" si="9"/>
        <v>-0.02608695652173909</v>
      </c>
      <c r="K111" s="246">
        <f t="shared" si="10"/>
        <v>0</v>
      </c>
      <c r="L111" s="246">
        <f t="shared" si="11"/>
        <v>0</v>
      </c>
      <c r="M111" s="247">
        <f t="shared" si="12"/>
        <v>0.006024096385542244</v>
      </c>
    </row>
    <row r="112" spans="2:13" ht="12">
      <c r="B112" s="238">
        <v>37785</v>
      </c>
      <c r="C112" s="239">
        <v>5050</v>
      </c>
      <c r="D112" s="239">
        <v>5750</v>
      </c>
      <c r="E112" s="239">
        <v>3600</v>
      </c>
      <c r="F112" s="239">
        <v>24675</v>
      </c>
      <c r="G112" s="240">
        <v>16700</v>
      </c>
      <c r="H112" s="241"/>
      <c r="I112" s="245">
        <f t="shared" si="8"/>
        <v>0.03589743589743599</v>
      </c>
      <c r="J112" s="246">
        <f t="shared" si="9"/>
        <v>0.02678571428571419</v>
      </c>
      <c r="K112" s="246">
        <f t="shared" si="10"/>
        <v>0.02857142857142847</v>
      </c>
      <c r="L112" s="246">
        <f t="shared" si="11"/>
        <v>0.02615819678948683</v>
      </c>
      <c r="M112" s="247">
        <f t="shared" si="12"/>
        <v>0</v>
      </c>
    </row>
    <row r="113" spans="2:13" ht="12">
      <c r="B113" s="238">
        <v>37788</v>
      </c>
      <c r="C113" s="239">
        <v>5150</v>
      </c>
      <c r="D113" s="239">
        <v>5850</v>
      </c>
      <c r="E113" s="239">
        <v>3775</v>
      </c>
      <c r="F113" s="239">
        <v>25179</v>
      </c>
      <c r="G113" s="240">
        <v>16600</v>
      </c>
      <c r="H113" s="241"/>
      <c r="I113" s="245">
        <f t="shared" si="8"/>
        <v>0.01980198019801982</v>
      </c>
      <c r="J113" s="246">
        <f t="shared" si="9"/>
        <v>0.017391304347825987</v>
      </c>
      <c r="K113" s="246">
        <f t="shared" si="10"/>
        <v>0.04861111111111116</v>
      </c>
      <c r="L113" s="246">
        <f t="shared" si="11"/>
        <v>0.020425531914893602</v>
      </c>
      <c r="M113" s="247">
        <f t="shared" si="12"/>
        <v>-0.005988023952095856</v>
      </c>
    </row>
    <row r="114" spans="2:13" ht="12">
      <c r="B114" s="238">
        <v>37789</v>
      </c>
      <c r="C114" s="239">
        <v>5100</v>
      </c>
      <c r="D114" s="239">
        <v>5850</v>
      </c>
      <c r="E114" s="239">
        <v>3950</v>
      </c>
      <c r="F114" s="239">
        <v>25305</v>
      </c>
      <c r="G114" s="240">
        <v>17200</v>
      </c>
      <c r="H114" s="241"/>
      <c r="I114" s="245">
        <f t="shared" si="8"/>
        <v>-0.009708737864077666</v>
      </c>
      <c r="J114" s="246">
        <f t="shared" si="9"/>
        <v>0</v>
      </c>
      <c r="K114" s="246">
        <f t="shared" si="10"/>
        <v>0.04635761589403975</v>
      </c>
      <c r="L114" s="246">
        <f t="shared" si="11"/>
        <v>0.005004170141784892</v>
      </c>
      <c r="M114" s="247">
        <f t="shared" si="12"/>
        <v>0.03614457831325302</v>
      </c>
    </row>
    <row r="115" spans="2:13" ht="12">
      <c r="B115" s="238">
        <v>37790</v>
      </c>
      <c r="C115" s="239">
        <v>5100</v>
      </c>
      <c r="D115" s="239">
        <v>5800</v>
      </c>
      <c r="E115" s="239">
        <v>4050</v>
      </c>
      <c r="F115" s="239">
        <v>23542</v>
      </c>
      <c r="G115" s="240">
        <v>17300</v>
      </c>
      <c r="H115" s="241"/>
      <c r="I115" s="245">
        <f t="shared" si="8"/>
        <v>0</v>
      </c>
      <c r="J115" s="246">
        <f t="shared" si="9"/>
        <v>-0.008547008547008517</v>
      </c>
      <c r="K115" s="246">
        <f t="shared" si="10"/>
        <v>0.025316455696202445</v>
      </c>
      <c r="L115" s="246">
        <f t="shared" si="11"/>
        <v>-0.06967002568662317</v>
      </c>
      <c r="M115" s="247">
        <f t="shared" si="12"/>
        <v>0.005813953488372103</v>
      </c>
    </row>
    <row r="116" spans="2:13" ht="12">
      <c r="B116" s="238">
        <v>37791</v>
      </c>
      <c r="C116" s="239">
        <v>4975</v>
      </c>
      <c r="D116" s="239">
        <v>5700</v>
      </c>
      <c r="E116" s="239">
        <v>3900</v>
      </c>
      <c r="F116" s="239">
        <v>22913</v>
      </c>
      <c r="G116" s="240">
        <v>18000</v>
      </c>
      <c r="H116" s="241"/>
      <c r="I116" s="245">
        <f t="shared" si="8"/>
        <v>-0.02450980392156865</v>
      </c>
      <c r="J116" s="246">
        <f t="shared" si="9"/>
        <v>-0.017241379310344862</v>
      </c>
      <c r="K116" s="246">
        <f t="shared" si="10"/>
        <v>-0.03703703703703709</v>
      </c>
      <c r="L116" s="246">
        <f t="shared" si="11"/>
        <v>-0.026718205759918456</v>
      </c>
      <c r="M116" s="247">
        <f t="shared" si="12"/>
        <v>0.040462427745664664</v>
      </c>
    </row>
    <row r="117" spans="2:13" ht="12">
      <c r="B117" s="238">
        <v>37792</v>
      </c>
      <c r="C117" s="239">
        <v>4950</v>
      </c>
      <c r="D117" s="239">
        <v>5650</v>
      </c>
      <c r="E117" s="239">
        <v>3900</v>
      </c>
      <c r="F117" s="239">
        <v>22787</v>
      </c>
      <c r="G117" s="240">
        <v>17900</v>
      </c>
      <c r="H117" s="241"/>
      <c r="I117" s="245">
        <f t="shared" si="8"/>
        <v>-0.005025125628140725</v>
      </c>
      <c r="J117" s="246">
        <f t="shared" si="9"/>
        <v>-0.00877192982456143</v>
      </c>
      <c r="K117" s="246">
        <f t="shared" si="10"/>
        <v>0</v>
      </c>
      <c r="L117" s="246">
        <f t="shared" si="11"/>
        <v>-0.005499061668048699</v>
      </c>
      <c r="M117" s="247">
        <f t="shared" si="12"/>
        <v>-0.005555555555555536</v>
      </c>
    </row>
    <row r="118" spans="2:13" ht="12">
      <c r="B118" s="238">
        <v>37795</v>
      </c>
      <c r="C118" s="239">
        <v>4950</v>
      </c>
      <c r="D118" s="239">
        <v>5650</v>
      </c>
      <c r="E118" s="239">
        <v>3925</v>
      </c>
      <c r="F118" s="239">
        <v>23039</v>
      </c>
      <c r="G118" s="240">
        <v>17900</v>
      </c>
      <c r="H118" s="241"/>
      <c r="I118" s="245">
        <f t="shared" si="8"/>
        <v>0</v>
      </c>
      <c r="J118" s="246">
        <f t="shared" si="9"/>
        <v>0</v>
      </c>
      <c r="K118" s="246">
        <f t="shared" si="10"/>
        <v>0.0064102564102563875</v>
      </c>
      <c r="L118" s="246">
        <f t="shared" si="11"/>
        <v>0.011058937113266332</v>
      </c>
      <c r="M118" s="247">
        <f t="shared" si="12"/>
        <v>0</v>
      </c>
    </row>
    <row r="119" spans="2:13" ht="12">
      <c r="B119" s="238">
        <v>37796</v>
      </c>
      <c r="C119" s="239">
        <v>4975</v>
      </c>
      <c r="D119" s="239">
        <v>5750</v>
      </c>
      <c r="E119" s="239">
        <v>3850</v>
      </c>
      <c r="F119" s="239">
        <v>23290</v>
      </c>
      <c r="G119" s="240">
        <v>17800</v>
      </c>
      <c r="H119" s="241"/>
      <c r="I119" s="245">
        <f t="shared" si="8"/>
        <v>0.005050505050504972</v>
      </c>
      <c r="J119" s="246">
        <f t="shared" si="9"/>
        <v>0.017699115044247815</v>
      </c>
      <c r="K119" s="246">
        <f t="shared" si="10"/>
        <v>-0.019108280254777066</v>
      </c>
      <c r="L119" s="246">
        <f t="shared" si="11"/>
        <v>0.010894570076826149</v>
      </c>
      <c r="M119" s="247">
        <f t="shared" si="12"/>
        <v>-0.005586592178770999</v>
      </c>
    </row>
    <row r="120" spans="2:13" ht="12">
      <c r="B120" s="238">
        <v>37797</v>
      </c>
      <c r="C120" s="239">
        <v>4975</v>
      </c>
      <c r="D120" s="239">
        <v>5650</v>
      </c>
      <c r="E120" s="239">
        <v>3875</v>
      </c>
      <c r="F120" s="239">
        <v>23542</v>
      </c>
      <c r="G120" s="240">
        <v>17600</v>
      </c>
      <c r="H120" s="241"/>
      <c r="I120" s="245">
        <f t="shared" si="8"/>
        <v>0</v>
      </c>
      <c r="J120" s="246">
        <f t="shared" si="9"/>
        <v>-0.017391304347826098</v>
      </c>
      <c r="K120" s="246">
        <f t="shared" si="10"/>
        <v>0.006493506493506551</v>
      </c>
      <c r="L120" s="246">
        <f t="shared" si="11"/>
        <v>0.010820094461142071</v>
      </c>
      <c r="M120" s="247">
        <f t="shared" si="12"/>
        <v>-0.011235955056179803</v>
      </c>
    </row>
    <row r="121" spans="2:13" ht="12">
      <c r="B121" s="238">
        <v>37798</v>
      </c>
      <c r="C121" s="239">
        <v>5050</v>
      </c>
      <c r="D121" s="239">
        <v>5650</v>
      </c>
      <c r="E121" s="239">
        <v>4050</v>
      </c>
      <c r="F121" s="239">
        <v>24675</v>
      </c>
      <c r="G121" s="240">
        <v>17600</v>
      </c>
      <c r="H121" s="241"/>
      <c r="I121" s="245">
        <f t="shared" si="8"/>
        <v>0.015075376884422065</v>
      </c>
      <c r="J121" s="246">
        <f t="shared" si="9"/>
        <v>0</v>
      </c>
      <c r="K121" s="246">
        <f t="shared" si="10"/>
        <v>0.04516129032258065</v>
      </c>
      <c r="L121" s="246">
        <f t="shared" si="11"/>
        <v>0.04812675218757967</v>
      </c>
      <c r="M121" s="247">
        <f t="shared" si="12"/>
        <v>0</v>
      </c>
    </row>
    <row r="122" spans="2:13" ht="12">
      <c r="B122" s="238">
        <v>37799</v>
      </c>
      <c r="C122" s="239">
        <v>5025</v>
      </c>
      <c r="D122" s="239">
        <v>5700</v>
      </c>
      <c r="E122" s="239">
        <v>4100</v>
      </c>
      <c r="F122" s="239">
        <v>24675</v>
      </c>
      <c r="G122" s="240">
        <v>17500</v>
      </c>
      <c r="H122" s="241"/>
      <c r="I122" s="245">
        <f t="shared" si="8"/>
        <v>-0.004950495049504955</v>
      </c>
      <c r="J122" s="246">
        <f t="shared" si="9"/>
        <v>0.008849557522123908</v>
      </c>
      <c r="K122" s="246">
        <f t="shared" si="10"/>
        <v>0.012345679012345734</v>
      </c>
      <c r="L122" s="246">
        <f t="shared" si="11"/>
        <v>0</v>
      </c>
      <c r="M122" s="247">
        <f t="shared" si="12"/>
        <v>-0.005681818181818232</v>
      </c>
    </row>
    <row r="123" spans="2:13" ht="12">
      <c r="B123" s="238">
        <v>37802</v>
      </c>
      <c r="C123" s="239">
        <v>4950</v>
      </c>
      <c r="D123" s="239">
        <v>5700</v>
      </c>
      <c r="E123" s="239">
        <v>4200</v>
      </c>
      <c r="F123" s="239">
        <v>24549</v>
      </c>
      <c r="G123" s="240">
        <v>17400</v>
      </c>
      <c r="H123" s="241"/>
      <c r="I123" s="245">
        <f t="shared" si="8"/>
        <v>-0.014925373134328401</v>
      </c>
      <c r="J123" s="246">
        <f t="shared" si="9"/>
        <v>0</v>
      </c>
      <c r="K123" s="246">
        <f t="shared" si="10"/>
        <v>0.024390243902439046</v>
      </c>
      <c r="L123" s="246">
        <f t="shared" si="11"/>
        <v>-0.005106382978723456</v>
      </c>
      <c r="M123" s="247">
        <f t="shared" si="12"/>
        <v>-0.005714285714285672</v>
      </c>
    </row>
    <row r="124" spans="2:13" ht="12">
      <c r="B124" s="238">
        <v>37803</v>
      </c>
      <c r="C124" s="239">
        <v>4850</v>
      </c>
      <c r="D124" s="239">
        <v>5600</v>
      </c>
      <c r="E124" s="239">
        <v>4200</v>
      </c>
      <c r="F124" s="239">
        <v>24297</v>
      </c>
      <c r="G124" s="240">
        <v>17200</v>
      </c>
      <c r="H124" s="241"/>
      <c r="I124" s="245">
        <f t="shared" si="8"/>
        <v>-0.02020202020202022</v>
      </c>
      <c r="J124" s="246">
        <f t="shared" si="9"/>
        <v>-0.01754385964912286</v>
      </c>
      <c r="K124" s="246">
        <f t="shared" si="10"/>
        <v>0</v>
      </c>
      <c r="L124" s="246">
        <f t="shared" si="11"/>
        <v>-0.010265183917878562</v>
      </c>
      <c r="M124" s="247">
        <f t="shared" si="12"/>
        <v>-0.011494252873563204</v>
      </c>
    </row>
    <row r="125" spans="2:13" ht="12">
      <c r="B125" s="238">
        <v>37804</v>
      </c>
      <c r="C125" s="239">
        <v>4775</v>
      </c>
      <c r="D125" s="239">
        <v>5500</v>
      </c>
      <c r="E125" s="239">
        <v>4225</v>
      </c>
      <c r="F125" s="239">
        <v>24297</v>
      </c>
      <c r="G125" s="240">
        <v>17100</v>
      </c>
      <c r="H125" s="241"/>
      <c r="I125" s="245">
        <f t="shared" si="8"/>
        <v>-0.015463917525773141</v>
      </c>
      <c r="J125" s="246">
        <f t="shared" si="9"/>
        <v>-0.017857142857142905</v>
      </c>
      <c r="K125" s="246">
        <f t="shared" si="10"/>
        <v>0.005952380952380931</v>
      </c>
      <c r="L125" s="246">
        <f t="shared" si="11"/>
        <v>0</v>
      </c>
      <c r="M125" s="247">
        <f t="shared" si="12"/>
        <v>-0.005813953488372103</v>
      </c>
    </row>
    <row r="126" spans="2:13" ht="12">
      <c r="B126" s="238">
        <v>37805</v>
      </c>
      <c r="C126" s="239">
        <v>4750</v>
      </c>
      <c r="D126" s="239">
        <v>5500</v>
      </c>
      <c r="E126" s="239">
        <v>4200</v>
      </c>
      <c r="F126" s="239">
        <v>24297</v>
      </c>
      <c r="G126" s="240">
        <v>17500</v>
      </c>
      <c r="H126" s="241"/>
      <c r="I126" s="245">
        <f t="shared" si="8"/>
        <v>-0.005235602094240788</v>
      </c>
      <c r="J126" s="246">
        <f t="shared" si="9"/>
        <v>0</v>
      </c>
      <c r="K126" s="246">
        <f t="shared" si="10"/>
        <v>-0.00591715976331364</v>
      </c>
      <c r="L126" s="246">
        <f t="shared" si="11"/>
        <v>0</v>
      </c>
      <c r="M126" s="247">
        <f t="shared" si="12"/>
        <v>0.023391812865497075</v>
      </c>
    </row>
    <row r="127" spans="2:13" ht="12">
      <c r="B127" s="238">
        <v>37806</v>
      </c>
      <c r="C127" s="239">
        <v>4725</v>
      </c>
      <c r="D127" s="239">
        <v>5250</v>
      </c>
      <c r="E127" s="239">
        <v>4050</v>
      </c>
      <c r="F127" s="239">
        <v>23920</v>
      </c>
      <c r="G127" s="240">
        <v>17000</v>
      </c>
      <c r="H127" s="241"/>
      <c r="I127" s="245">
        <f t="shared" si="8"/>
        <v>-0.0052631578947368585</v>
      </c>
      <c r="J127" s="246">
        <f t="shared" si="9"/>
        <v>-0.045454545454545414</v>
      </c>
      <c r="K127" s="246">
        <f t="shared" si="10"/>
        <v>-0.0357142857142857</v>
      </c>
      <c r="L127" s="246">
        <f t="shared" si="11"/>
        <v>-0.015516318887105363</v>
      </c>
      <c r="M127" s="247">
        <f t="shared" si="12"/>
        <v>-0.02857142857142858</v>
      </c>
    </row>
    <row r="128" spans="2:13" ht="12">
      <c r="B128" s="238">
        <v>37809</v>
      </c>
      <c r="C128" s="239">
        <v>4675</v>
      </c>
      <c r="D128" s="239">
        <v>5050</v>
      </c>
      <c r="E128" s="239">
        <v>4050</v>
      </c>
      <c r="F128" s="239">
        <v>23416</v>
      </c>
      <c r="G128" s="240">
        <v>17000</v>
      </c>
      <c r="H128" s="241"/>
      <c r="I128" s="245">
        <f t="shared" si="8"/>
        <v>-0.010582010582010581</v>
      </c>
      <c r="J128" s="246">
        <f t="shared" si="9"/>
        <v>-0.03809523809523807</v>
      </c>
      <c r="K128" s="246">
        <f t="shared" si="10"/>
        <v>0</v>
      </c>
      <c r="L128" s="246">
        <f t="shared" si="11"/>
        <v>-0.02107023411371234</v>
      </c>
      <c r="M128" s="247">
        <f t="shared" si="12"/>
        <v>0</v>
      </c>
    </row>
    <row r="129" spans="2:13" ht="12">
      <c r="B129" s="238">
        <v>37810</v>
      </c>
      <c r="C129" s="239">
        <v>4675</v>
      </c>
      <c r="D129" s="239">
        <v>5100</v>
      </c>
      <c r="E129" s="239">
        <v>4200</v>
      </c>
      <c r="F129" s="239">
        <v>23039</v>
      </c>
      <c r="G129" s="240">
        <v>17200</v>
      </c>
      <c r="H129" s="241"/>
      <c r="I129" s="245">
        <f t="shared" si="8"/>
        <v>0</v>
      </c>
      <c r="J129" s="246">
        <f t="shared" si="9"/>
        <v>0.00990099009900991</v>
      </c>
      <c r="K129" s="246">
        <f t="shared" si="10"/>
        <v>0.03703703703703698</v>
      </c>
      <c r="L129" s="246">
        <f t="shared" si="11"/>
        <v>-0.016100102494021162</v>
      </c>
      <c r="M129" s="247">
        <f t="shared" si="12"/>
        <v>0.0117647058823529</v>
      </c>
    </row>
    <row r="130" spans="2:13" ht="12">
      <c r="B130" s="238">
        <v>37811</v>
      </c>
      <c r="C130" s="239">
        <v>4450</v>
      </c>
      <c r="D130" s="239">
        <v>4950</v>
      </c>
      <c r="E130" s="239">
        <v>4275</v>
      </c>
      <c r="F130" s="239">
        <v>22913</v>
      </c>
      <c r="G130" s="240">
        <v>16700</v>
      </c>
      <c r="H130" s="241"/>
      <c r="I130" s="245">
        <f t="shared" si="8"/>
        <v>-0.048128342245989275</v>
      </c>
      <c r="J130" s="246">
        <f t="shared" si="9"/>
        <v>-0.02941176470588236</v>
      </c>
      <c r="K130" s="246">
        <f t="shared" si="10"/>
        <v>0.017857142857142794</v>
      </c>
      <c r="L130" s="246">
        <f t="shared" si="11"/>
        <v>-0.005468987369243505</v>
      </c>
      <c r="M130" s="247">
        <f t="shared" si="12"/>
        <v>-0.029069767441860517</v>
      </c>
    </row>
    <row r="131" spans="2:13" ht="12">
      <c r="B131" s="238">
        <v>37812</v>
      </c>
      <c r="C131" s="239">
        <v>4450</v>
      </c>
      <c r="D131" s="239">
        <v>4900</v>
      </c>
      <c r="E131" s="239">
        <v>4250</v>
      </c>
      <c r="F131" s="239">
        <v>23039</v>
      </c>
      <c r="G131" s="240">
        <v>17100</v>
      </c>
      <c r="H131" s="241"/>
      <c r="I131" s="245">
        <f t="shared" si="8"/>
        <v>0</v>
      </c>
      <c r="J131" s="246">
        <f t="shared" si="9"/>
        <v>-0.010101010101010055</v>
      </c>
      <c r="K131" s="246">
        <f t="shared" si="10"/>
        <v>-0.005847953216374324</v>
      </c>
      <c r="L131" s="246">
        <f t="shared" si="11"/>
        <v>0.00549906166804881</v>
      </c>
      <c r="M131" s="247">
        <f t="shared" si="12"/>
        <v>0.0239520958083832</v>
      </c>
    </row>
    <row r="132" spans="2:13" ht="12">
      <c r="B132" s="238">
        <v>37813</v>
      </c>
      <c r="C132" s="239">
        <v>4525</v>
      </c>
      <c r="D132" s="239">
        <v>4900</v>
      </c>
      <c r="E132" s="239">
        <v>4225</v>
      </c>
      <c r="F132" s="239">
        <v>23164</v>
      </c>
      <c r="G132" s="240">
        <v>17000</v>
      </c>
      <c r="H132" s="241"/>
      <c r="I132" s="245">
        <f t="shared" si="8"/>
        <v>0.016853932584269593</v>
      </c>
      <c r="J132" s="246">
        <f t="shared" si="9"/>
        <v>0</v>
      </c>
      <c r="K132" s="246">
        <f t="shared" si="10"/>
        <v>-0.00588235294117645</v>
      </c>
      <c r="L132" s="246">
        <f t="shared" si="11"/>
        <v>0.0054255827075828655</v>
      </c>
      <c r="M132" s="247">
        <f t="shared" si="12"/>
        <v>-0.005847953216374324</v>
      </c>
    </row>
    <row r="133" spans="2:13" ht="12">
      <c r="B133" s="238">
        <v>37816</v>
      </c>
      <c r="C133" s="239">
        <v>4550</v>
      </c>
      <c r="D133" s="239">
        <v>5075</v>
      </c>
      <c r="E133" s="239">
        <v>4175</v>
      </c>
      <c r="F133" s="239">
        <v>23416</v>
      </c>
      <c r="G133" s="240">
        <v>17400</v>
      </c>
      <c r="H133" s="241"/>
      <c r="I133" s="245">
        <f aca="true" t="shared" si="13" ref="I133:I196">C133/C132-1</f>
        <v>0.005524861878453136</v>
      </c>
      <c r="J133" s="246">
        <f t="shared" si="9"/>
        <v>0.03571428571428581</v>
      </c>
      <c r="K133" s="246">
        <f t="shared" si="10"/>
        <v>-0.011834319526627168</v>
      </c>
      <c r="L133" s="246">
        <f t="shared" si="11"/>
        <v>0.01087895009497486</v>
      </c>
      <c r="M133" s="247">
        <f t="shared" si="12"/>
        <v>0.0235294117647058</v>
      </c>
    </row>
    <row r="134" spans="2:13" ht="12">
      <c r="B134" s="238">
        <v>37817</v>
      </c>
      <c r="C134" s="239">
        <v>4650</v>
      </c>
      <c r="D134" s="239">
        <v>5150</v>
      </c>
      <c r="E134" s="239">
        <v>4175</v>
      </c>
      <c r="F134" s="239">
        <v>24172</v>
      </c>
      <c r="G134" s="240">
        <v>17500</v>
      </c>
      <c r="H134" s="241"/>
      <c r="I134" s="245">
        <f t="shared" si="13"/>
        <v>0.0219780219780219</v>
      </c>
      <c r="J134" s="246">
        <f t="shared" si="9"/>
        <v>0.014778325123152802</v>
      </c>
      <c r="K134" s="246">
        <f t="shared" si="10"/>
        <v>0</v>
      </c>
      <c r="L134" s="246">
        <f t="shared" si="11"/>
        <v>0.03228561667236085</v>
      </c>
      <c r="M134" s="247">
        <f t="shared" si="12"/>
        <v>0.005747126436781658</v>
      </c>
    </row>
    <row r="135" spans="2:13" ht="12">
      <c r="B135" s="238">
        <v>37818</v>
      </c>
      <c r="C135" s="239">
        <v>4600</v>
      </c>
      <c r="D135" s="239">
        <v>5000</v>
      </c>
      <c r="E135" s="239">
        <v>4125</v>
      </c>
      <c r="F135" s="239">
        <v>24046</v>
      </c>
      <c r="G135" s="240">
        <v>17200</v>
      </c>
      <c r="H135" s="241"/>
      <c r="I135" s="245">
        <f t="shared" si="13"/>
        <v>-0.010752688172043001</v>
      </c>
      <c r="J135" s="246">
        <f t="shared" si="9"/>
        <v>-0.029126213592232997</v>
      </c>
      <c r="K135" s="246">
        <f t="shared" si="10"/>
        <v>-0.0119760479041916</v>
      </c>
      <c r="L135" s="246">
        <f t="shared" si="11"/>
        <v>-0.005212642727122296</v>
      </c>
      <c r="M135" s="247">
        <f t="shared" si="12"/>
        <v>-0.017142857142857126</v>
      </c>
    </row>
    <row r="136" spans="2:13" ht="12">
      <c r="B136" s="238">
        <v>37819</v>
      </c>
      <c r="C136" s="239">
        <v>4550</v>
      </c>
      <c r="D136" s="239">
        <v>5000</v>
      </c>
      <c r="E136" s="239">
        <v>4150</v>
      </c>
      <c r="F136" s="239">
        <v>23794</v>
      </c>
      <c r="G136" s="240">
        <v>17200</v>
      </c>
      <c r="H136" s="241"/>
      <c r="I136" s="245">
        <f t="shared" si="13"/>
        <v>-0.010869565217391353</v>
      </c>
      <c r="J136" s="246">
        <f t="shared" si="9"/>
        <v>0</v>
      </c>
      <c r="K136" s="246">
        <f t="shared" si="10"/>
        <v>0.0060606060606061</v>
      </c>
      <c r="L136" s="246">
        <f t="shared" si="11"/>
        <v>-0.010479913499126692</v>
      </c>
      <c r="M136" s="247">
        <f t="shared" si="12"/>
        <v>0</v>
      </c>
    </row>
    <row r="137" spans="2:13" ht="12">
      <c r="B137" s="238">
        <v>37820</v>
      </c>
      <c r="C137" s="239">
        <v>4575</v>
      </c>
      <c r="D137" s="239">
        <v>5000</v>
      </c>
      <c r="E137" s="239">
        <v>4150</v>
      </c>
      <c r="F137" s="239">
        <v>24172</v>
      </c>
      <c r="G137" s="240">
        <v>17200</v>
      </c>
      <c r="H137" s="241"/>
      <c r="I137" s="245">
        <f t="shared" si="13"/>
        <v>0.005494505494505475</v>
      </c>
      <c r="J137" s="246">
        <f t="shared" si="9"/>
        <v>0</v>
      </c>
      <c r="K137" s="246">
        <f t="shared" si="10"/>
        <v>0</v>
      </c>
      <c r="L137" s="246">
        <f t="shared" si="11"/>
        <v>0.01588635790535431</v>
      </c>
      <c r="M137" s="247">
        <f t="shared" si="12"/>
        <v>0</v>
      </c>
    </row>
    <row r="138" spans="2:13" ht="12">
      <c r="B138" s="238">
        <v>37823</v>
      </c>
      <c r="C138" s="239">
        <v>4600</v>
      </c>
      <c r="D138" s="239">
        <v>4950</v>
      </c>
      <c r="E138" s="239">
        <v>4150</v>
      </c>
      <c r="F138" s="239">
        <v>24423</v>
      </c>
      <c r="G138" s="240">
        <v>17100</v>
      </c>
      <c r="H138" s="241"/>
      <c r="I138" s="245">
        <f t="shared" si="13"/>
        <v>0.005464480874316946</v>
      </c>
      <c r="J138" s="246">
        <f t="shared" si="9"/>
        <v>-0.010000000000000009</v>
      </c>
      <c r="K138" s="246">
        <f t="shared" si="10"/>
        <v>0</v>
      </c>
      <c r="L138" s="246">
        <f t="shared" si="11"/>
        <v>0.010383915273870503</v>
      </c>
      <c r="M138" s="247">
        <f t="shared" si="12"/>
        <v>-0.005813953488372103</v>
      </c>
    </row>
    <row r="139" spans="2:13" ht="12">
      <c r="B139" s="238">
        <v>37824</v>
      </c>
      <c r="C139" s="239">
        <v>4450</v>
      </c>
      <c r="D139" s="239">
        <v>4875</v>
      </c>
      <c r="E139" s="239">
        <v>4050</v>
      </c>
      <c r="F139" s="239">
        <v>24423</v>
      </c>
      <c r="G139" s="240">
        <v>16800</v>
      </c>
      <c r="H139" s="241"/>
      <c r="I139" s="245">
        <f t="shared" si="13"/>
        <v>-0.03260869565217395</v>
      </c>
      <c r="J139" s="246">
        <f t="shared" si="9"/>
        <v>-0.015151515151515138</v>
      </c>
      <c r="K139" s="246">
        <f t="shared" si="10"/>
        <v>-0.02409638554216864</v>
      </c>
      <c r="L139" s="246">
        <f t="shared" si="11"/>
        <v>0</v>
      </c>
      <c r="M139" s="247">
        <f t="shared" si="12"/>
        <v>-0.01754385964912286</v>
      </c>
    </row>
    <row r="140" spans="2:13" ht="12">
      <c r="B140" s="238">
        <v>37825</v>
      </c>
      <c r="C140" s="239">
        <v>4350</v>
      </c>
      <c r="D140" s="239">
        <v>4850</v>
      </c>
      <c r="E140" s="239">
        <v>3950</v>
      </c>
      <c r="F140" s="239">
        <v>23668</v>
      </c>
      <c r="G140" s="240">
        <v>16600</v>
      </c>
      <c r="H140" s="241"/>
      <c r="I140" s="245">
        <f t="shared" si="13"/>
        <v>-0.022471910112359605</v>
      </c>
      <c r="J140" s="246">
        <f t="shared" si="9"/>
        <v>-0.00512820512820511</v>
      </c>
      <c r="K140" s="246">
        <f t="shared" si="10"/>
        <v>-0.024691358024691357</v>
      </c>
      <c r="L140" s="246">
        <f t="shared" si="11"/>
        <v>-0.0309134831920731</v>
      </c>
      <c r="M140" s="247">
        <f t="shared" si="12"/>
        <v>-0.011904761904761862</v>
      </c>
    </row>
    <row r="141" spans="2:13" ht="12">
      <c r="B141" s="238">
        <v>37826</v>
      </c>
      <c r="C141" s="239">
        <v>4275</v>
      </c>
      <c r="D141" s="239">
        <v>4875</v>
      </c>
      <c r="E141" s="239">
        <v>3900</v>
      </c>
      <c r="F141" s="239">
        <v>23416</v>
      </c>
      <c r="G141" s="240">
        <v>16800</v>
      </c>
      <c r="H141" s="241"/>
      <c r="I141" s="245">
        <f t="shared" si="13"/>
        <v>-0.017241379310344862</v>
      </c>
      <c r="J141" s="246">
        <f t="shared" si="9"/>
        <v>0.005154639175257714</v>
      </c>
      <c r="K141" s="246">
        <f t="shared" si="10"/>
        <v>-0.012658227848101222</v>
      </c>
      <c r="L141" s="246">
        <f t="shared" si="11"/>
        <v>-0.010647287476761913</v>
      </c>
      <c r="M141" s="247">
        <f t="shared" si="12"/>
        <v>0.012048192771084265</v>
      </c>
    </row>
    <row r="142" spans="2:13" ht="12">
      <c r="B142" s="238">
        <v>37827</v>
      </c>
      <c r="C142" s="239">
        <v>4325</v>
      </c>
      <c r="D142" s="239">
        <v>4925</v>
      </c>
      <c r="E142" s="239">
        <v>3875</v>
      </c>
      <c r="F142" s="239">
        <v>23542</v>
      </c>
      <c r="G142" s="240">
        <v>16900</v>
      </c>
      <c r="H142" s="241"/>
      <c r="I142" s="245">
        <f t="shared" si="13"/>
        <v>0.011695906432748648</v>
      </c>
      <c r="J142" s="246">
        <f t="shared" si="9"/>
        <v>0.01025641025641022</v>
      </c>
      <c r="K142" s="246">
        <f t="shared" si="10"/>
        <v>-0.0064102564102563875</v>
      </c>
      <c r="L142" s="246">
        <f t="shared" si="11"/>
        <v>0.005380936112060031</v>
      </c>
      <c r="M142" s="247">
        <f t="shared" si="12"/>
        <v>0.005952380952380931</v>
      </c>
    </row>
    <row r="143" spans="2:13" ht="12">
      <c r="B143" s="238">
        <v>37830</v>
      </c>
      <c r="C143" s="239">
        <v>4275</v>
      </c>
      <c r="D143" s="239">
        <v>4950</v>
      </c>
      <c r="E143" s="239">
        <v>3925</v>
      </c>
      <c r="F143" s="239">
        <v>23416</v>
      </c>
      <c r="G143" s="240">
        <v>17100</v>
      </c>
      <c r="H143" s="241"/>
      <c r="I143" s="245">
        <f t="shared" si="13"/>
        <v>-0.011560693641618491</v>
      </c>
      <c r="J143" s="246">
        <f t="shared" si="9"/>
        <v>0.0050761421319796</v>
      </c>
      <c r="K143" s="246">
        <f t="shared" si="10"/>
        <v>0.012903225806451646</v>
      </c>
      <c r="L143" s="246">
        <f t="shared" si="11"/>
        <v>-0.005352136606915248</v>
      </c>
      <c r="M143" s="247">
        <f t="shared" si="12"/>
        <v>0.01183431952662728</v>
      </c>
    </row>
    <row r="144" spans="2:13" ht="12">
      <c r="B144" s="238">
        <v>37831</v>
      </c>
      <c r="C144" s="239">
        <v>4225</v>
      </c>
      <c r="D144" s="239">
        <v>4900</v>
      </c>
      <c r="E144" s="239">
        <v>3875</v>
      </c>
      <c r="F144" s="239">
        <v>23416</v>
      </c>
      <c r="G144" s="240">
        <v>17000</v>
      </c>
      <c r="H144" s="241"/>
      <c r="I144" s="245">
        <f t="shared" si="13"/>
        <v>-0.011695906432748537</v>
      </c>
      <c r="J144" s="246">
        <f t="shared" si="9"/>
        <v>-0.010101010101010055</v>
      </c>
      <c r="K144" s="246">
        <f t="shared" si="10"/>
        <v>-0.01273885350318471</v>
      </c>
      <c r="L144" s="246">
        <f t="shared" si="11"/>
        <v>0</v>
      </c>
      <c r="M144" s="247">
        <f t="shared" si="12"/>
        <v>-0.005847953216374324</v>
      </c>
    </row>
    <row r="145" spans="2:13" ht="12">
      <c r="B145" s="238">
        <v>37832</v>
      </c>
      <c r="C145" s="239">
        <v>4200</v>
      </c>
      <c r="D145" s="239">
        <v>4875</v>
      </c>
      <c r="E145" s="239">
        <v>3875</v>
      </c>
      <c r="F145" s="239">
        <v>24046</v>
      </c>
      <c r="G145" s="240">
        <v>16700</v>
      </c>
      <c r="H145" s="241"/>
      <c r="I145" s="245">
        <f t="shared" si="13"/>
        <v>-0.00591715976331364</v>
      </c>
      <c r="J145" s="246">
        <f t="shared" si="9"/>
        <v>-0.005102040816326481</v>
      </c>
      <c r="K145" s="246">
        <f t="shared" si="10"/>
        <v>0</v>
      </c>
      <c r="L145" s="246">
        <f t="shared" si="11"/>
        <v>0.026904680560300598</v>
      </c>
      <c r="M145" s="247">
        <f t="shared" si="12"/>
        <v>-0.01764705882352946</v>
      </c>
    </row>
    <row r="146" spans="2:13" ht="12">
      <c r="B146" s="238">
        <v>37833</v>
      </c>
      <c r="C146" s="239">
        <v>4300</v>
      </c>
      <c r="D146" s="239">
        <v>4950</v>
      </c>
      <c r="E146" s="239">
        <v>3925</v>
      </c>
      <c r="F146" s="239">
        <v>24297</v>
      </c>
      <c r="G146" s="240">
        <v>16800</v>
      </c>
      <c r="H146" s="241"/>
      <c r="I146" s="245">
        <f t="shared" si="13"/>
        <v>0.023809523809523725</v>
      </c>
      <c r="J146" s="246">
        <f t="shared" si="9"/>
        <v>0.01538461538461533</v>
      </c>
      <c r="K146" s="246">
        <f t="shared" si="10"/>
        <v>0.012903225806451646</v>
      </c>
      <c r="L146" s="246">
        <f t="shared" si="11"/>
        <v>0.010438326540796794</v>
      </c>
      <c r="M146" s="247">
        <f t="shared" si="12"/>
        <v>0.0059880239520957446</v>
      </c>
    </row>
    <row r="147" spans="2:13" ht="12">
      <c r="B147" s="238">
        <v>37834</v>
      </c>
      <c r="C147" s="239">
        <v>4325</v>
      </c>
      <c r="D147" s="239">
        <v>5025</v>
      </c>
      <c r="E147" s="239">
        <v>3950</v>
      </c>
      <c r="F147" s="239">
        <v>24172</v>
      </c>
      <c r="G147" s="240">
        <v>16700</v>
      </c>
      <c r="H147" s="241"/>
      <c r="I147" s="245">
        <f t="shared" si="13"/>
        <v>0.005813953488372103</v>
      </c>
      <c r="J147" s="246">
        <f t="shared" si="9"/>
        <v>0.015151515151515138</v>
      </c>
      <c r="K147" s="246">
        <f t="shared" si="10"/>
        <v>0.006369426751592355</v>
      </c>
      <c r="L147" s="246">
        <f t="shared" si="11"/>
        <v>-0.0051446680660164334</v>
      </c>
      <c r="M147" s="247">
        <f t="shared" si="12"/>
        <v>-0.005952380952380931</v>
      </c>
    </row>
    <row r="148" spans="2:13" ht="12">
      <c r="B148" s="238">
        <v>37837</v>
      </c>
      <c r="C148" s="239">
        <v>4600</v>
      </c>
      <c r="D148" s="239">
        <v>5250</v>
      </c>
      <c r="E148" s="239">
        <v>4200</v>
      </c>
      <c r="F148" s="239">
        <v>24801</v>
      </c>
      <c r="G148" s="240">
        <v>16900</v>
      </c>
      <c r="H148" s="241"/>
      <c r="I148" s="245">
        <f t="shared" si="13"/>
        <v>0.06358381502890165</v>
      </c>
      <c r="J148" s="246">
        <f aca="true" t="shared" si="14" ref="J148:J211">D148/D147-1</f>
        <v>0.04477611940298498</v>
      </c>
      <c r="K148" s="246">
        <f aca="true" t="shared" si="15" ref="K148:K211">E148/E147-1</f>
        <v>0.06329113924050622</v>
      </c>
      <c r="L148" s="246">
        <f aca="true" t="shared" si="16" ref="L148:L211">F148/F147-1</f>
        <v>0.026021843455237503</v>
      </c>
      <c r="M148" s="247">
        <f aca="true" t="shared" si="17" ref="M148:M211">G148/G147-1</f>
        <v>0.011976047904191711</v>
      </c>
    </row>
    <row r="149" spans="2:13" ht="12">
      <c r="B149" s="238">
        <v>37838</v>
      </c>
      <c r="C149" s="239">
        <v>4825</v>
      </c>
      <c r="D149" s="239">
        <v>5400</v>
      </c>
      <c r="E149" s="239">
        <v>4450</v>
      </c>
      <c r="F149" s="239">
        <v>25556</v>
      </c>
      <c r="G149" s="240">
        <v>17000</v>
      </c>
      <c r="H149" s="241"/>
      <c r="I149" s="245">
        <f t="shared" si="13"/>
        <v>0.048913043478260976</v>
      </c>
      <c r="J149" s="246">
        <f t="shared" si="14"/>
        <v>0.02857142857142847</v>
      </c>
      <c r="K149" s="246">
        <f t="shared" si="15"/>
        <v>0.059523809523809534</v>
      </c>
      <c r="L149" s="246">
        <f t="shared" si="16"/>
        <v>0.030442320874158213</v>
      </c>
      <c r="M149" s="247">
        <f t="shared" si="17"/>
        <v>0.00591715976331364</v>
      </c>
    </row>
    <row r="150" spans="2:13" ht="12">
      <c r="B150" s="238">
        <v>37839</v>
      </c>
      <c r="C150" s="239">
        <v>4825</v>
      </c>
      <c r="D150" s="239">
        <v>5450</v>
      </c>
      <c r="E150" s="239">
        <v>4300</v>
      </c>
      <c r="F150" s="239">
        <v>25179</v>
      </c>
      <c r="G150" s="240">
        <v>16700</v>
      </c>
      <c r="H150" s="241"/>
      <c r="I150" s="245">
        <f t="shared" si="13"/>
        <v>0</v>
      </c>
      <c r="J150" s="246">
        <f t="shared" si="14"/>
        <v>0.0092592592592593</v>
      </c>
      <c r="K150" s="246">
        <f t="shared" si="15"/>
        <v>-0.0337078651685393</v>
      </c>
      <c r="L150" s="246">
        <f t="shared" si="16"/>
        <v>-0.014751917357958999</v>
      </c>
      <c r="M150" s="247">
        <f t="shared" si="17"/>
        <v>-0.01764705882352946</v>
      </c>
    </row>
    <row r="151" spans="2:13" ht="12">
      <c r="B151" s="238">
        <v>37840</v>
      </c>
      <c r="C151" s="239">
        <v>4975</v>
      </c>
      <c r="D151" s="239">
        <v>5500</v>
      </c>
      <c r="E151" s="239">
        <v>4375</v>
      </c>
      <c r="F151" s="239">
        <v>26186</v>
      </c>
      <c r="G151" s="240">
        <v>16700</v>
      </c>
      <c r="H151" s="241"/>
      <c r="I151" s="245">
        <f t="shared" si="13"/>
        <v>0.031088082901554515</v>
      </c>
      <c r="J151" s="246">
        <f t="shared" si="14"/>
        <v>0.00917431192660545</v>
      </c>
      <c r="K151" s="246">
        <f t="shared" si="15"/>
        <v>0.01744186046511631</v>
      </c>
      <c r="L151" s="246">
        <f t="shared" si="16"/>
        <v>0.03999364549823259</v>
      </c>
      <c r="M151" s="247">
        <f t="shared" si="17"/>
        <v>0</v>
      </c>
    </row>
    <row r="152" spans="2:13" ht="12">
      <c r="B152" s="238">
        <v>37841</v>
      </c>
      <c r="C152" s="239">
        <v>4900</v>
      </c>
      <c r="D152" s="239">
        <v>5450</v>
      </c>
      <c r="E152" s="239">
        <v>4400</v>
      </c>
      <c r="F152" s="239">
        <v>25682</v>
      </c>
      <c r="G152" s="240">
        <v>16800</v>
      </c>
      <c r="H152" s="241"/>
      <c r="I152" s="245">
        <f t="shared" si="13"/>
        <v>-0.015075376884422065</v>
      </c>
      <c r="J152" s="246">
        <f t="shared" si="14"/>
        <v>-0.009090909090909038</v>
      </c>
      <c r="K152" s="246">
        <f t="shared" si="15"/>
        <v>0.005714285714285783</v>
      </c>
      <c r="L152" s="246">
        <f t="shared" si="16"/>
        <v>-0.019246925838234175</v>
      </c>
      <c r="M152" s="247">
        <f t="shared" si="17"/>
        <v>0.0059880239520957446</v>
      </c>
    </row>
    <row r="153" spans="2:13" ht="12">
      <c r="B153" s="238">
        <v>37844</v>
      </c>
      <c r="C153" s="239">
        <v>4950</v>
      </c>
      <c r="D153" s="239">
        <v>5450</v>
      </c>
      <c r="E153" s="239">
        <v>4450</v>
      </c>
      <c r="F153" s="239">
        <v>25934</v>
      </c>
      <c r="G153" s="240">
        <v>16800</v>
      </c>
      <c r="H153" s="241"/>
      <c r="I153" s="245">
        <f t="shared" si="13"/>
        <v>0.010204081632652962</v>
      </c>
      <c r="J153" s="246">
        <f t="shared" si="14"/>
        <v>0</v>
      </c>
      <c r="K153" s="246">
        <f t="shared" si="15"/>
        <v>0.011363636363636465</v>
      </c>
      <c r="L153" s="246">
        <f t="shared" si="16"/>
        <v>0.00981231991277931</v>
      </c>
      <c r="M153" s="247">
        <f t="shared" si="17"/>
        <v>0</v>
      </c>
    </row>
    <row r="154" spans="2:13" ht="12">
      <c r="B154" s="238">
        <v>37845</v>
      </c>
      <c r="C154" s="239">
        <v>4975</v>
      </c>
      <c r="D154" s="239">
        <v>5750</v>
      </c>
      <c r="E154" s="239">
        <v>4475</v>
      </c>
      <c r="F154" s="239">
        <v>26186</v>
      </c>
      <c r="G154" s="240">
        <v>16800</v>
      </c>
      <c r="H154" s="241"/>
      <c r="I154" s="245">
        <f t="shared" si="13"/>
        <v>0.005050505050504972</v>
      </c>
      <c r="J154" s="246">
        <f t="shared" si="14"/>
        <v>0.05504587155963292</v>
      </c>
      <c r="K154" s="246">
        <f t="shared" si="15"/>
        <v>0.00561797752808979</v>
      </c>
      <c r="L154" s="246">
        <f t="shared" si="16"/>
        <v>0.009716973856713107</v>
      </c>
      <c r="M154" s="247">
        <f t="shared" si="17"/>
        <v>0</v>
      </c>
    </row>
    <row r="155" spans="2:13" ht="12">
      <c r="B155" s="238">
        <v>37846</v>
      </c>
      <c r="C155" s="239">
        <v>5000</v>
      </c>
      <c r="D155" s="239">
        <v>5700</v>
      </c>
      <c r="E155" s="239">
        <v>4550</v>
      </c>
      <c r="F155" s="239">
        <v>26438</v>
      </c>
      <c r="G155" s="240">
        <v>16600</v>
      </c>
      <c r="H155" s="241"/>
      <c r="I155" s="245">
        <f t="shared" si="13"/>
        <v>0.005025125628140614</v>
      </c>
      <c r="J155" s="246">
        <f t="shared" si="14"/>
        <v>-0.008695652173912993</v>
      </c>
      <c r="K155" s="246">
        <f t="shared" si="15"/>
        <v>0.016759776536312776</v>
      </c>
      <c r="L155" s="246">
        <f t="shared" si="16"/>
        <v>0.009623462919116976</v>
      </c>
      <c r="M155" s="247">
        <f t="shared" si="17"/>
        <v>-0.011904761904761862</v>
      </c>
    </row>
    <row r="156" spans="2:13" ht="12">
      <c r="B156" s="238">
        <v>37847</v>
      </c>
      <c r="C156" s="239">
        <v>4900</v>
      </c>
      <c r="D156" s="239">
        <v>5700</v>
      </c>
      <c r="E156" s="239">
        <v>4550</v>
      </c>
      <c r="F156" s="239">
        <v>26186</v>
      </c>
      <c r="G156" s="240">
        <v>16400</v>
      </c>
      <c r="H156" s="241"/>
      <c r="I156" s="245">
        <f t="shared" si="13"/>
        <v>-0.020000000000000018</v>
      </c>
      <c r="J156" s="246">
        <f t="shared" si="14"/>
        <v>0</v>
      </c>
      <c r="K156" s="246">
        <f t="shared" si="15"/>
        <v>0</v>
      </c>
      <c r="L156" s="246">
        <f t="shared" si="16"/>
        <v>-0.009531734624404264</v>
      </c>
      <c r="M156" s="247">
        <f t="shared" si="17"/>
        <v>-0.012048192771084376</v>
      </c>
    </row>
    <row r="157" spans="2:13" ht="12">
      <c r="B157" s="238">
        <v>37848</v>
      </c>
      <c r="C157" s="239">
        <v>4925</v>
      </c>
      <c r="D157" s="239">
        <v>5700</v>
      </c>
      <c r="E157" s="239">
        <v>4500</v>
      </c>
      <c r="F157" s="239">
        <v>25934</v>
      </c>
      <c r="G157" s="240">
        <v>16300</v>
      </c>
      <c r="H157" s="241"/>
      <c r="I157" s="245">
        <f t="shared" si="13"/>
        <v>0.005102040816326481</v>
      </c>
      <c r="J157" s="246">
        <f t="shared" si="14"/>
        <v>0</v>
      </c>
      <c r="K157" s="246">
        <f t="shared" si="15"/>
        <v>-0.01098901098901095</v>
      </c>
      <c r="L157" s="246">
        <f t="shared" si="16"/>
        <v>-0.009623462919117087</v>
      </c>
      <c r="M157" s="247">
        <f t="shared" si="17"/>
        <v>-0.0060975609756097615</v>
      </c>
    </row>
    <row r="158" spans="2:13" ht="12">
      <c r="B158" s="238">
        <v>37851</v>
      </c>
      <c r="C158" s="239">
        <v>4875</v>
      </c>
      <c r="D158" s="239">
        <v>5700</v>
      </c>
      <c r="E158" s="239">
        <v>4450</v>
      </c>
      <c r="F158" s="239">
        <v>25682</v>
      </c>
      <c r="G158" s="240">
        <v>15500</v>
      </c>
      <c r="H158" s="241"/>
      <c r="I158" s="245">
        <f t="shared" si="13"/>
        <v>-0.010152284263959421</v>
      </c>
      <c r="J158" s="246">
        <f t="shared" si="14"/>
        <v>0</v>
      </c>
      <c r="K158" s="246">
        <f t="shared" si="15"/>
        <v>-0.011111111111111072</v>
      </c>
      <c r="L158" s="246">
        <f t="shared" si="16"/>
        <v>-0.009716973856713218</v>
      </c>
      <c r="M158" s="247">
        <f t="shared" si="17"/>
        <v>-0.049079754601227044</v>
      </c>
    </row>
    <row r="159" spans="2:13" ht="12">
      <c r="B159" s="238">
        <v>37852</v>
      </c>
      <c r="C159" s="239">
        <v>4925</v>
      </c>
      <c r="D159" s="239">
        <v>5700</v>
      </c>
      <c r="E159" s="239">
        <v>4450</v>
      </c>
      <c r="F159" s="239">
        <v>25934</v>
      </c>
      <c r="G159" s="240">
        <v>15400</v>
      </c>
      <c r="H159" s="241"/>
      <c r="I159" s="245">
        <f t="shared" si="13"/>
        <v>0.01025641025641022</v>
      </c>
      <c r="J159" s="246">
        <f t="shared" si="14"/>
        <v>0</v>
      </c>
      <c r="K159" s="246">
        <f t="shared" si="15"/>
        <v>0</v>
      </c>
      <c r="L159" s="246">
        <f t="shared" si="16"/>
        <v>0.00981231991277931</v>
      </c>
      <c r="M159" s="247">
        <f t="shared" si="17"/>
        <v>-0.006451612903225823</v>
      </c>
    </row>
    <row r="160" spans="2:13" ht="12">
      <c r="B160" s="238">
        <v>37853</v>
      </c>
      <c r="C160" s="239">
        <v>4900</v>
      </c>
      <c r="D160" s="239">
        <v>5600</v>
      </c>
      <c r="E160" s="239">
        <v>4375</v>
      </c>
      <c r="F160" s="239">
        <v>25934</v>
      </c>
      <c r="G160" s="240">
        <v>15400</v>
      </c>
      <c r="H160" s="241"/>
      <c r="I160" s="245">
        <f t="shared" si="13"/>
        <v>-0.005076142131979711</v>
      </c>
      <c r="J160" s="246">
        <f t="shared" si="14"/>
        <v>-0.01754385964912286</v>
      </c>
      <c r="K160" s="246">
        <f t="shared" si="15"/>
        <v>-0.016853932584269704</v>
      </c>
      <c r="L160" s="246">
        <f t="shared" si="16"/>
        <v>0</v>
      </c>
      <c r="M160" s="247">
        <f t="shared" si="17"/>
        <v>0</v>
      </c>
    </row>
    <row r="161" spans="2:13" ht="12">
      <c r="B161" s="238">
        <v>37854</v>
      </c>
      <c r="C161" s="239">
        <v>4950</v>
      </c>
      <c r="D161" s="239">
        <v>5700</v>
      </c>
      <c r="E161" s="239">
        <v>4525</v>
      </c>
      <c r="F161" s="239">
        <v>26186</v>
      </c>
      <c r="G161" s="240">
        <v>15600</v>
      </c>
      <c r="H161" s="241"/>
      <c r="I161" s="245">
        <f t="shared" si="13"/>
        <v>0.010204081632652962</v>
      </c>
      <c r="J161" s="246">
        <f t="shared" si="14"/>
        <v>0.017857142857142794</v>
      </c>
      <c r="K161" s="246">
        <f t="shared" si="15"/>
        <v>0.03428571428571425</v>
      </c>
      <c r="L161" s="246">
        <f t="shared" si="16"/>
        <v>0.009716973856713107</v>
      </c>
      <c r="M161" s="247">
        <f t="shared" si="17"/>
        <v>0.01298701298701288</v>
      </c>
    </row>
    <row r="162" spans="2:13" ht="12">
      <c r="B162" s="238">
        <v>37855</v>
      </c>
      <c r="C162" s="239">
        <v>5100</v>
      </c>
      <c r="D162" s="239">
        <v>5800</v>
      </c>
      <c r="E162" s="239">
        <v>4525</v>
      </c>
      <c r="F162" s="239">
        <v>25934</v>
      </c>
      <c r="G162" s="240">
        <v>15800</v>
      </c>
      <c r="H162" s="241"/>
      <c r="I162" s="245">
        <f t="shared" si="13"/>
        <v>0.030303030303030276</v>
      </c>
      <c r="J162" s="246">
        <f t="shared" si="14"/>
        <v>0.01754385964912286</v>
      </c>
      <c r="K162" s="246">
        <f t="shared" si="15"/>
        <v>0</v>
      </c>
      <c r="L162" s="246">
        <f t="shared" si="16"/>
        <v>-0.009623462919117087</v>
      </c>
      <c r="M162" s="247">
        <f t="shared" si="17"/>
        <v>0.012820512820512775</v>
      </c>
    </row>
    <row r="163" spans="2:13" ht="12">
      <c r="B163" s="238">
        <v>37858</v>
      </c>
      <c r="C163" s="239">
        <v>5000</v>
      </c>
      <c r="D163" s="239">
        <v>5800</v>
      </c>
      <c r="E163" s="239">
        <v>4450</v>
      </c>
      <c r="F163" s="239">
        <v>24927</v>
      </c>
      <c r="G163" s="240">
        <v>15500</v>
      </c>
      <c r="H163" s="241"/>
      <c r="I163" s="245">
        <f t="shared" si="13"/>
        <v>-0.019607843137254943</v>
      </c>
      <c r="J163" s="246">
        <f t="shared" si="14"/>
        <v>0</v>
      </c>
      <c r="K163" s="246">
        <f t="shared" si="15"/>
        <v>-0.016574585635359074</v>
      </c>
      <c r="L163" s="246">
        <f t="shared" si="16"/>
        <v>-0.03882933600678651</v>
      </c>
      <c r="M163" s="247">
        <f t="shared" si="17"/>
        <v>-0.01898734177215189</v>
      </c>
    </row>
    <row r="164" spans="2:13" ht="12">
      <c r="B164" s="238">
        <v>37859</v>
      </c>
      <c r="C164" s="239">
        <v>4950</v>
      </c>
      <c r="D164" s="239">
        <v>5700</v>
      </c>
      <c r="E164" s="239">
        <v>4450</v>
      </c>
      <c r="F164" s="239">
        <v>25305</v>
      </c>
      <c r="G164" s="240">
        <v>15300</v>
      </c>
      <c r="H164" s="241"/>
      <c r="I164" s="245">
        <f t="shared" si="13"/>
        <v>-0.010000000000000009</v>
      </c>
      <c r="J164" s="246">
        <f t="shared" si="14"/>
        <v>-0.017241379310344862</v>
      </c>
      <c r="K164" s="246">
        <f t="shared" si="15"/>
        <v>0</v>
      </c>
      <c r="L164" s="246">
        <f t="shared" si="16"/>
        <v>0.015164279696714411</v>
      </c>
      <c r="M164" s="247">
        <f t="shared" si="17"/>
        <v>-0.012903225806451646</v>
      </c>
    </row>
    <row r="165" spans="2:13" ht="12">
      <c r="B165" s="238">
        <v>37860</v>
      </c>
      <c r="C165" s="239">
        <v>4925</v>
      </c>
      <c r="D165" s="239">
        <v>5650</v>
      </c>
      <c r="E165" s="239">
        <v>4425</v>
      </c>
      <c r="F165" s="239">
        <v>25053</v>
      </c>
      <c r="G165" s="240">
        <v>15200</v>
      </c>
      <c r="H165" s="241"/>
      <c r="I165" s="245">
        <f t="shared" si="13"/>
        <v>-0.005050505050505083</v>
      </c>
      <c r="J165" s="246">
        <f t="shared" si="14"/>
        <v>-0.00877192982456143</v>
      </c>
      <c r="K165" s="246">
        <f t="shared" si="15"/>
        <v>-0.005617977528089901</v>
      </c>
      <c r="L165" s="246">
        <f t="shared" si="16"/>
        <v>-0.009958506224066355</v>
      </c>
      <c r="M165" s="247">
        <f t="shared" si="17"/>
        <v>-0.006535947712418277</v>
      </c>
    </row>
    <row r="166" spans="2:13" ht="12">
      <c r="B166" s="238">
        <v>37861</v>
      </c>
      <c r="C166" s="239">
        <v>4850</v>
      </c>
      <c r="D166" s="239">
        <v>5550</v>
      </c>
      <c r="E166" s="239">
        <v>4350</v>
      </c>
      <c r="F166" s="239">
        <v>25305</v>
      </c>
      <c r="G166" s="240">
        <v>15500</v>
      </c>
      <c r="H166" s="241"/>
      <c r="I166" s="245">
        <f t="shared" si="13"/>
        <v>-0.015228426395939132</v>
      </c>
      <c r="J166" s="246">
        <f t="shared" si="14"/>
        <v>-0.017699115044247815</v>
      </c>
      <c r="K166" s="246">
        <f t="shared" si="15"/>
        <v>-0.016949152542372836</v>
      </c>
      <c r="L166" s="246">
        <f t="shared" si="16"/>
        <v>0.010058675607711676</v>
      </c>
      <c r="M166" s="247">
        <f t="shared" si="17"/>
        <v>0.019736842105263053</v>
      </c>
    </row>
    <row r="167" spans="2:13" ht="12">
      <c r="B167" s="238">
        <v>37862</v>
      </c>
      <c r="C167" s="239">
        <v>4850</v>
      </c>
      <c r="D167" s="239">
        <v>5600</v>
      </c>
      <c r="E167" s="239">
        <v>4350</v>
      </c>
      <c r="F167" s="239">
        <v>26689</v>
      </c>
      <c r="G167" s="240">
        <v>15300</v>
      </c>
      <c r="H167" s="241"/>
      <c r="I167" s="245">
        <f t="shared" si="13"/>
        <v>0</v>
      </c>
      <c r="J167" s="246">
        <f t="shared" si="14"/>
        <v>0.009009009009008917</v>
      </c>
      <c r="K167" s="246">
        <f t="shared" si="15"/>
        <v>0</v>
      </c>
      <c r="L167" s="246">
        <f t="shared" si="16"/>
        <v>0.054692748468682106</v>
      </c>
      <c r="M167" s="247">
        <f t="shared" si="17"/>
        <v>-0.012903225806451646</v>
      </c>
    </row>
    <row r="168" spans="2:13" ht="12">
      <c r="B168" s="238">
        <v>37865</v>
      </c>
      <c r="C168" s="239">
        <v>4850</v>
      </c>
      <c r="D168" s="239">
        <v>5600</v>
      </c>
      <c r="E168" s="239">
        <v>4400</v>
      </c>
      <c r="F168" s="239">
        <v>26689</v>
      </c>
      <c r="G168" s="240">
        <v>15000</v>
      </c>
      <c r="H168" s="241"/>
      <c r="I168" s="245">
        <f t="shared" si="13"/>
        <v>0</v>
      </c>
      <c r="J168" s="246">
        <f t="shared" si="14"/>
        <v>0</v>
      </c>
      <c r="K168" s="246">
        <f t="shared" si="15"/>
        <v>0.011494252873563315</v>
      </c>
      <c r="L168" s="246">
        <f t="shared" si="16"/>
        <v>0</v>
      </c>
      <c r="M168" s="247">
        <f t="shared" si="17"/>
        <v>-0.019607843137254943</v>
      </c>
    </row>
    <row r="169" spans="2:13" ht="12">
      <c r="B169" s="238">
        <v>37866</v>
      </c>
      <c r="C169" s="239">
        <v>4900</v>
      </c>
      <c r="D169" s="239">
        <v>5550</v>
      </c>
      <c r="E169" s="239">
        <v>4400</v>
      </c>
      <c r="F169" s="239">
        <v>26689</v>
      </c>
      <c r="G169" s="240">
        <v>15100</v>
      </c>
      <c r="H169" s="241"/>
      <c r="I169" s="245">
        <f t="shared" si="13"/>
        <v>0.010309278350515427</v>
      </c>
      <c r="J169" s="246">
        <f t="shared" si="14"/>
        <v>-0.008928571428571397</v>
      </c>
      <c r="K169" s="246">
        <f t="shared" si="15"/>
        <v>0</v>
      </c>
      <c r="L169" s="246">
        <f t="shared" si="16"/>
        <v>0</v>
      </c>
      <c r="M169" s="247">
        <f t="shared" si="17"/>
        <v>0.006666666666666599</v>
      </c>
    </row>
    <row r="170" spans="2:13" ht="12">
      <c r="B170" s="238">
        <v>37867</v>
      </c>
      <c r="C170" s="239">
        <v>4875</v>
      </c>
      <c r="D170" s="239">
        <v>5600</v>
      </c>
      <c r="E170" s="239">
        <v>4475</v>
      </c>
      <c r="F170" s="239">
        <v>26941</v>
      </c>
      <c r="G170" s="240">
        <v>15100</v>
      </c>
      <c r="H170" s="241"/>
      <c r="I170" s="245">
        <f t="shared" si="13"/>
        <v>-0.005102040816326481</v>
      </c>
      <c r="J170" s="246">
        <f t="shared" si="14"/>
        <v>0.009009009009008917</v>
      </c>
      <c r="K170" s="246">
        <f t="shared" si="15"/>
        <v>0.017045454545454586</v>
      </c>
      <c r="L170" s="246">
        <f t="shared" si="16"/>
        <v>0.009442092247742506</v>
      </c>
      <c r="M170" s="247">
        <f t="shared" si="17"/>
        <v>0</v>
      </c>
    </row>
    <row r="171" spans="2:13" ht="12">
      <c r="B171" s="238">
        <v>37868</v>
      </c>
      <c r="C171" s="239">
        <v>4800</v>
      </c>
      <c r="D171" s="239">
        <v>5500</v>
      </c>
      <c r="E171" s="239">
        <v>4525</v>
      </c>
      <c r="F171" s="239">
        <v>26941</v>
      </c>
      <c r="G171" s="240">
        <v>15100</v>
      </c>
      <c r="H171" s="241"/>
      <c r="I171" s="245">
        <f t="shared" si="13"/>
        <v>-0.01538461538461533</v>
      </c>
      <c r="J171" s="246">
        <f t="shared" si="14"/>
        <v>-0.017857142857142905</v>
      </c>
      <c r="K171" s="246">
        <f t="shared" si="15"/>
        <v>0.011173184357541999</v>
      </c>
      <c r="L171" s="246">
        <f t="shared" si="16"/>
        <v>0</v>
      </c>
      <c r="M171" s="247">
        <f t="shared" si="17"/>
        <v>0</v>
      </c>
    </row>
    <row r="172" spans="2:13" ht="12">
      <c r="B172" s="238">
        <v>37869</v>
      </c>
      <c r="C172" s="239">
        <v>4675</v>
      </c>
      <c r="D172" s="239">
        <v>5450</v>
      </c>
      <c r="E172" s="239">
        <v>4575</v>
      </c>
      <c r="F172" s="239">
        <v>26689</v>
      </c>
      <c r="G172" s="240">
        <v>15100</v>
      </c>
      <c r="H172" s="241"/>
      <c r="I172" s="245">
        <f t="shared" si="13"/>
        <v>-0.02604166666666663</v>
      </c>
      <c r="J172" s="246">
        <f t="shared" si="14"/>
        <v>-0.009090909090909038</v>
      </c>
      <c r="K172" s="246">
        <f t="shared" si="15"/>
        <v>0.011049723756906049</v>
      </c>
      <c r="L172" s="246">
        <f t="shared" si="16"/>
        <v>-0.009353773059648907</v>
      </c>
      <c r="M172" s="247">
        <f t="shared" si="17"/>
        <v>0</v>
      </c>
    </row>
    <row r="173" spans="2:13" ht="12">
      <c r="B173" s="238">
        <v>37872</v>
      </c>
      <c r="C173" s="239">
        <v>4575</v>
      </c>
      <c r="D173" s="239">
        <v>5450</v>
      </c>
      <c r="E173" s="239">
        <v>4675</v>
      </c>
      <c r="F173" s="239">
        <v>26438</v>
      </c>
      <c r="G173" s="240">
        <v>14900</v>
      </c>
      <c r="H173" s="241"/>
      <c r="I173" s="245">
        <f t="shared" si="13"/>
        <v>-0.021390374331550777</v>
      </c>
      <c r="J173" s="246">
        <f t="shared" si="14"/>
        <v>0</v>
      </c>
      <c r="K173" s="246">
        <f t="shared" si="15"/>
        <v>0.021857923497267784</v>
      </c>
      <c r="L173" s="246">
        <f t="shared" si="16"/>
        <v>-0.009404623627711772</v>
      </c>
      <c r="M173" s="247">
        <f t="shared" si="17"/>
        <v>-0.013245033112582738</v>
      </c>
    </row>
    <row r="174" spans="2:13" ht="12">
      <c r="B174" s="238">
        <v>37873</v>
      </c>
      <c r="C174" s="239">
        <v>4675</v>
      </c>
      <c r="D174" s="239">
        <v>5550</v>
      </c>
      <c r="E174" s="239">
        <v>4950</v>
      </c>
      <c r="F174" s="239">
        <v>26941</v>
      </c>
      <c r="G174" s="240">
        <v>15000</v>
      </c>
      <c r="H174" s="241"/>
      <c r="I174" s="245">
        <f t="shared" si="13"/>
        <v>0.021857923497267784</v>
      </c>
      <c r="J174" s="246">
        <f t="shared" si="14"/>
        <v>0.0183486238532109</v>
      </c>
      <c r="K174" s="246">
        <f t="shared" si="15"/>
        <v>0.05882352941176472</v>
      </c>
      <c r="L174" s="246">
        <f t="shared" si="16"/>
        <v>0.01902564490506098</v>
      </c>
      <c r="M174" s="247">
        <f t="shared" si="17"/>
        <v>0.006711409395973256</v>
      </c>
    </row>
    <row r="175" spans="2:13" ht="12">
      <c r="B175" s="238">
        <v>37874</v>
      </c>
      <c r="C175" s="239">
        <v>4825</v>
      </c>
      <c r="D175" s="239">
        <v>5600</v>
      </c>
      <c r="E175" s="239">
        <v>5050</v>
      </c>
      <c r="F175" s="239">
        <v>27697</v>
      </c>
      <c r="G175" s="240">
        <v>14900</v>
      </c>
      <c r="H175" s="241"/>
      <c r="I175" s="245">
        <f t="shared" si="13"/>
        <v>0.03208556149732611</v>
      </c>
      <c r="J175" s="246">
        <f t="shared" si="14"/>
        <v>0.009009009009008917</v>
      </c>
      <c r="K175" s="246">
        <f t="shared" si="15"/>
        <v>0.02020202020202011</v>
      </c>
      <c r="L175" s="246">
        <f t="shared" si="16"/>
        <v>0.028061319178946498</v>
      </c>
      <c r="M175" s="247">
        <f t="shared" si="17"/>
        <v>-0.00666666666666671</v>
      </c>
    </row>
    <row r="176" spans="2:13" ht="12">
      <c r="B176" s="238">
        <v>37875</v>
      </c>
      <c r="C176" s="239">
        <v>4925</v>
      </c>
      <c r="D176" s="239">
        <v>5750</v>
      </c>
      <c r="E176" s="239">
        <v>4975</v>
      </c>
      <c r="F176" s="239">
        <v>27697</v>
      </c>
      <c r="G176" s="240">
        <v>15200</v>
      </c>
      <c r="H176" s="241"/>
      <c r="I176" s="245">
        <f t="shared" si="13"/>
        <v>0.020725388601036343</v>
      </c>
      <c r="J176" s="246">
        <f t="shared" si="14"/>
        <v>0.02678571428571419</v>
      </c>
      <c r="K176" s="246">
        <f t="shared" si="15"/>
        <v>-0.014851485148514865</v>
      </c>
      <c r="L176" s="246">
        <f t="shared" si="16"/>
        <v>0</v>
      </c>
      <c r="M176" s="247">
        <f t="shared" si="17"/>
        <v>0.020134228187919545</v>
      </c>
    </row>
    <row r="177" spans="2:13" ht="12">
      <c r="B177" s="238">
        <v>37876</v>
      </c>
      <c r="C177" s="239">
        <v>5025</v>
      </c>
      <c r="D177" s="239">
        <v>5850</v>
      </c>
      <c r="E177" s="239">
        <v>5000</v>
      </c>
      <c r="F177" s="239">
        <v>27948</v>
      </c>
      <c r="G177" s="240">
        <v>15000</v>
      </c>
      <c r="H177" s="241"/>
      <c r="I177" s="245">
        <f t="shared" si="13"/>
        <v>0.020304568527918843</v>
      </c>
      <c r="J177" s="246">
        <f t="shared" si="14"/>
        <v>0.017391304347825987</v>
      </c>
      <c r="K177" s="246">
        <f t="shared" si="15"/>
        <v>0.005025125628140614</v>
      </c>
      <c r="L177" s="246">
        <f t="shared" si="16"/>
        <v>0.009062353323464611</v>
      </c>
      <c r="M177" s="247">
        <f t="shared" si="17"/>
        <v>-0.013157894736842146</v>
      </c>
    </row>
    <row r="178" spans="2:13" ht="12">
      <c r="B178" s="238">
        <v>37879</v>
      </c>
      <c r="C178" s="239">
        <v>5050</v>
      </c>
      <c r="D178" s="239">
        <v>5800</v>
      </c>
      <c r="E178" s="239">
        <v>5000</v>
      </c>
      <c r="F178" s="239">
        <v>27445</v>
      </c>
      <c r="G178" s="240">
        <v>15500</v>
      </c>
      <c r="H178" s="241"/>
      <c r="I178" s="245">
        <f t="shared" si="13"/>
        <v>0.004975124378109541</v>
      </c>
      <c r="J178" s="246">
        <f t="shared" si="14"/>
        <v>-0.008547008547008517</v>
      </c>
      <c r="K178" s="246">
        <f t="shared" si="15"/>
        <v>0</v>
      </c>
      <c r="L178" s="246">
        <f t="shared" si="16"/>
        <v>-0.01799771003291828</v>
      </c>
      <c r="M178" s="247">
        <f t="shared" si="17"/>
        <v>0.03333333333333344</v>
      </c>
    </row>
    <row r="179" spans="2:13" ht="12">
      <c r="B179" s="238">
        <v>37880</v>
      </c>
      <c r="C179" s="239">
        <v>5050</v>
      </c>
      <c r="D179" s="239">
        <v>5900</v>
      </c>
      <c r="E179" s="239">
        <v>5150</v>
      </c>
      <c r="F179" s="239">
        <v>28200</v>
      </c>
      <c r="G179" s="240">
        <v>16000</v>
      </c>
      <c r="H179" s="241"/>
      <c r="I179" s="245">
        <f t="shared" si="13"/>
        <v>0</v>
      </c>
      <c r="J179" s="246">
        <f t="shared" si="14"/>
        <v>0.01724137931034475</v>
      </c>
      <c r="K179" s="246">
        <f t="shared" si="15"/>
        <v>0.030000000000000027</v>
      </c>
      <c r="L179" s="246">
        <f t="shared" si="16"/>
        <v>0.027509564583712898</v>
      </c>
      <c r="M179" s="247">
        <f t="shared" si="17"/>
        <v>0.032258064516129004</v>
      </c>
    </row>
    <row r="180" spans="2:13" ht="12">
      <c r="B180" s="238">
        <v>37881</v>
      </c>
      <c r="C180" s="239">
        <v>5000</v>
      </c>
      <c r="D180" s="239">
        <v>5750</v>
      </c>
      <c r="E180" s="239">
        <v>5250</v>
      </c>
      <c r="F180" s="239">
        <v>27445</v>
      </c>
      <c r="G180" s="240">
        <v>15800</v>
      </c>
      <c r="H180" s="241"/>
      <c r="I180" s="245">
        <f t="shared" si="13"/>
        <v>-0.00990099009900991</v>
      </c>
      <c r="J180" s="246">
        <f t="shared" si="14"/>
        <v>-0.025423728813559365</v>
      </c>
      <c r="K180" s="246">
        <f t="shared" si="15"/>
        <v>0.01941747572815533</v>
      </c>
      <c r="L180" s="246">
        <f t="shared" si="16"/>
        <v>-0.026773049645390068</v>
      </c>
      <c r="M180" s="247">
        <f t="shared" si="17"/>
        <v>-0.012499999999999956</v>
      </c>
    </row>
    <row r="181" spans="2:13" ht="12">
      <c r="B181" s="238">
        <v>37882</v>
      </c>
      <c r="C181" s="239">
        <v>5150</v>
      </c>
      <c r="D181" s="239">
        <v>5850</v>
      </c>
      <c r="E181" s="239">
        <v>5550</v>
      </c>
      <c r="F181" s="239">
        <v>27948</v>
      </c>
      <c r="G181" s="240">
        <v>16000</v>
      </c>
      <c r="H181" s="241"/>
      <c r="I181" s="245">
        <f t="shared" si="13"/>
        <v>0.030000000000000027</v>
      </c>
      <c r="J181" s="246">
        <f t="shared" si="14"/>
        <v>0.017391304347825987</v>
      </c>
      <c r="K181" s="246">
        <f t="shared" si="15"/>
        <v>0.05714285714285716</v>
      </c>
      <c r="L181" s="246">
        <f t="shared" si="16"/>
        <v>0.01832756421934789</v>
      </c>
      <c r="M181" s="247">
        <f t="shared" si="17"/>
        <v>0.012658227848101333</v>
      </c>
    </row>
    <row r="182" spans="2:13" ht="12">
      <c r="B182" s="238">
        <v>37883</v>
      </c>
      <c r="C182" s="239">
        <v>5350</v>
      </c>
      <c r="D182" s="239">
        <v>6000</v>
      </c>
      <c r="E182" s="239">
        <v>5800</v>
      </c>
      <c r="F182" s="239">
        <v>28200</v>
      </c>
      <c r="G182" s="240">
        <v>15900</v>
      </c>
      <c r="H182" s="241"/>
      <c r="I182" s="245">
        <f t="shared" si="13"/>
        <v>0.03883495145631066</v>
      </c>
      <c r="J182" s="246">
        <f t="shared" si="14"/>
        <v>0.02564102564102555</v>
      </c>
      <c r="K182" s="246">
        <f t="shared" si="15"/>
        <v>0.04504504504504503</v>
      </c>
      <c r="L182" s="246">
        <f t="shared" si="16"/>
        <v>0.009016745384285096</v>
      </c>
      <c r="M182" s="247">
        <f t="shared" si="17"/>
        <v>-0.006249999999999978</v>
      </c>
    </row>
    <row r="183" spans="2:13" ht="12">
      <c r="B183" s="238">
        <v>37886</v>
      </c>
      <c r="C183" s="239">
        <v>5550</v>
      </c>
      <c r="D183" s="239">
        <v>6100</v>
      </c>
      <c r="E183" s="239">
        <v>5750</v>
      </c>
      <c r="F183" s="239">
        <v>27445</v>
      </c>
      <c r="G183" s="240">
        <v>17000</v>
      </c>
      <c r="H183" s="241"/>
      <c r="I183" s="245">
        <f t="shared" si="13"/>
        <v>0.03738317757009346</v>
      </c>
      <c r="J183" s="246">
        <f t="shared" si="14"/>
        <v>0.016666666666666607</v>
      </c>
      <c r="K183" s="246">
        <f t="shared" si="15"/>
        <v>-0.008620689655172376</v>
      </c>
      <c r="L183" s="246">
        <f t="shared" si="16"/>
        <v>-0.026773049645390068</v>
      </c>
      <c r="M183" s="247">
        <f t="shared" si="17"/>
        <v>0.0691823899371069</v>
      </c>
    </row>
    <row r="184" spans="2:13" ht="12">
      <c r="B184" s="238">
        <v>37887</v>
      </c>
      <c r="C184" s="239">
        <v>5650</v>
      </c>
      <c r="D184" s="239">
        <v>6150</v>
      </c>
      <c r="E184" s="239">
        <v>5800</v>
      </c>
      <c r="F184" s="239">
        <v>27697</v>
      </c>
      <c r="G184" s="240">
        <v>16800</v>
      </c>
      <c r="H184" s="241"/>
      <c r="I184" s="245">
        <f t="shared" si="13"/>
        <v>0.018018018018018056</v>
      </c>
      <c r="J184" s="246">
        <f t="shared" si="14"/>
        <v>0.008196721311475308</v>
      </c>
      <c r="K184" s="246">
        <f t="shared" si="15"/>
        <v>0.008695652173912993</v>
      </c>
      <c r="L184" s="246">
        <f t="shared" si="16"/>
        <v>0.009182000364365006</v>
      </c>
      <c r="M184" s="247">
        <f t="shared" si="17"/>
        <v>-0.0117647058823529</v>
      </c>
    </row>
    <row r="185" spans="2:13" ht="12">
      <c r="B185" s="238">
        <v>37888</v>
      </c>
      <c r="C185" s="239">
        <v>5750</v>
      </c>
      <c r="D185" s="239">
        <v>6100</v>
      </c>
      <c r="E185" s="239">
        <v>5650</v>
      </c>
      <c r="F185" s="239">
        <v>26941</v>
      </c>
      <c r="G185" s="240">
        <v>16400</v>
      </c>
      <c r="H185" s="241"/>
      <c r="I185" s="245">
        <f t="shared" si="13"/>
        <v>0.017699115044247815</v>
      </c>
      <c r="J185" s="246">
        <f t="shared" si="14"/>
        <v>-0.008130081300813052</v>
      </c>
      <c r="K185" s="246">
        <f t="shared" si="15"/>
        <v>-0.025862068965517238</v>
      </c>
      <c r="L185" s="246">
        <f t="shared" si="16"/>
        <v>-0.02729537495035561</v>
      </c>
      <c r="M185" s="247">
        <f t="shared" si="17"/>
        <v>-0.023809523809523836</v>
      </c>
    </row>
    <row r="186" spans="2:13" ht="12">
      <c r="B186" s="238">
        <v>37889</v>
      </c>
      <c r="C186" s="239">
        <v>5750</v>
      </c>
      <c r="D186" s="239">
        <v>6100</v>
      </c>
      <c r="E186" s="239">
        <v>5850</v>
      </c>
      <c r="F186" s="239">
        <v>26689</v>
      </c>
      <c r="G186" s="240">
        <v>16800</v>
      </c>
      <c r="H186" s="241"/>
      <c r="I186" s="245">
        <f t="shared" si="13"/>
        <v>0</v>
      </c>
      <c r="J186" s="246">
        <f t="shared" si="14"/>
        <v>0</v>
      </c>
      <c r="K186" s="246">
        <f t="shared" si="15"/>
        <v>0.03539823008849563</v>
      </c>
      <c r="L186" s="246">
        <f t="shared" si="16"/>
        <v>-0.009353773059648907</v>
      </c>
      <c r="M186" s="247">
        <f t="shared" si="17"/>
        <v>0.024390243902439046</v>
      </c>
    </row>
    <row r="187" spans="2:13" ht="12">
      <c r="B187" s="238">
        <v>37890</v>
      </c>
      <c r="C187" s="239">
        <v>5650</v>
      </c>
      <c r="D187" s="239">
        <v>6000</v>
      </c>
      <c r="E187" s="239">
        <v>5800</v>
      </c>
      <c r="F187" s="239">
        <v>26941</v>
      </c>
      <c r="G187" s="240">
        <v>16800</v>
      </c>
      <c r="H187" s="241"/>
      <c r="I187" s="245">
        <f t="shared" si="13"/>
        <v>-0.017391304347826098</v>
      </c>
      <c r="J187" s="246">
        <f t="shared" si="14"/>
        <v>-0.016393442622950838</v>
      </c>
      <c r="K187" s="246">
        <f t="shared" si="15"/>
        <v>-0.008547008547008517</v>
      </c>
      <c r="L187" s="246">
        <f t="shared" si="16"/>
        <v>0.009442092247742506</v>
      </c>
      <c r="M187" s="247">
        <f t="shared" si="17"/>
        <v>0</v>
      </c>
    </row>
    <row r="188" spans="2:13" ht="12">
      <c r="B188" s="238">
        <v>37893</v>
      </c>
      <c r="C188" s="239">
        <v>5250</v>
      </c>
      <c r="D188" s="239">
        <v>5700</v>
      </c>
      <c r="E188" s="239">
        <v>5600</v>
      </c>
      <c r="F188" s="239">
        <v>26438</v>
      </c>
      <c r="G188" s="240">
        <v>15500</v>
      </c>
      <c r="H188" s="241"/>
      <c r="I188" s="245">
        <f t="shared" si="13"/>
        <v>-0.07079646017699115</v>
      </c>
      <c r="J188" s="246">
        <f t="shared" si="14"/>
        <v>-0.050000000000000044</v>
      </c>
      <c r="K188" s="246">
        <f t="shared" si="15"/>
        <v>-0.03448275862068961</v>
      </c>
      <c r="L188" s="246">
        <f t="shared" si="16"/>
        <v>-0.018670427972235615</v>
      </c>
      <c r="M188" s="247">
        <f t="shared" si="17"/>
        <v>-0.07738095238095233</v>
      </c>
    </row>
    <row r="189" spans="2:13" ht="12">
      <c r="B189" s="238">
        <v>37894</v>
      </c>
      <c r="C189" s="239">
        <v>5200</v>
      </c>
      <c r="D189" s="239">
        <v>5600</v>
      </c>
      <c r="E189" s="239">
        <v>5550</v>
      </c>
      <c r="F189" s="239">
        <v>25934</v>
      </c>
      <c r="G189" s="240">
        <v>15500</v>
      </c>
      <c r="H189" s="241"/>
      <c r="I189" s="245">
        <f t="shared" si="13"/>
        <v>-0.00952380952380949</v>
      </c>
      <c r="J189" s="246">
        <f t="shared" si="14"/>
        <v>-0.01754385964912286</v>
      </c>
      <c r="K189" s="246">
        <f t="shared" si="15"/>
        <v>-0.008928571428571397</v>
      </c>
      <c r="L189" s="246">
        <f t="shared" si="16"/>
        <v>-0.01906346924880853</v>
      </c>
      <c r="M189" s="247">
        <f t="shared" si="17"/>
        <v>0</v>
      </c>
    </row>
    <row r="190" spans="2:13" ht="12">
      <c r="B190" s="238">
        <v>37895</v>
      </c>
      <c r="C190" s="239">
        <v>5400</v>
      </c>
      <c r="D190" s="239">
        <v>5700</v>
      </c>
      <c r="E190" s="239">
        <v>5700</v>
      </c>
      <c r="F190" s="239">
        <v>26689</v>
      </c>
      <c r="G190" s="240">
        <v>15700</v>
      </c>
      <c r="H190" s="241"/>
      <c r="I190" s="245">
        <f t="shared" si="13"/>
        <v>0.03846153846153855</v>
      </c>
      <c r="J190" s="246">
        <f t="shared" si="14"/>
        <v>0.017857142857142794</v>
      </c>
      <c r="K190" s="246">
        <f t="shared" si="15"/>
        <v>0.027027027027026973</v>
      </c>
      <c r="L190" s="246">
        <f t="shared" si="16"/>
        <v>0.02911236215007329</v>
      </c>
      <c r="M190" s="247">
        <f t="shared" si="17"/>
        <v>0.012903225806451646</v>
      </c>
    </row>
    <row r="191" spans="2:13" ht="12">
      <c r="B191" s="238">
        <v>37896</v>
      </c>
      <c r="C191" s="239">
        <v>5600</v>
      </c>
      <c r="D191" s="239">
        <v>5900</v>
      </c>
      <c r="E191" s="239">
        <v>5850</v>
      </c>
      <c r="F191" s="239">
        <v>26941</v>
      </c>
      <c r="G191" s="240">
        <v>16400</v>
      </c>
      <c r="H191" s="241"/>
      <c r="I191" s="245">
        <f t="shared" si="13"/>
        <v>0.03703703703703698</v>
      </c>
      <c r="J191" s="246">
        <f t="shared" si="14"/>
        <v>0.03508771929824572</v>
      </c>
      <c r="K191" s="246">
        <f t="shared" si="15"/>
        <v>0.026315789473684292</v>
      </c>
      <c r="L191" s="246">
        <f t="shared" si="16"/>
        <v>0.009442092247742506</v>
      </c>
      <c r="M191" s="247">
        <f t="shared" si="17"/>
        <v>0.04458598726114649</v>
      </c>
    </row>
    <row r="192" spans="2:13" ht="12">
      <c r="B192" s="238">
        <v>37897</v>
      </c>
      <c r="C192" s="239">
        <v>5700</v>
      </c>
      <c r="D192" s="239">
        <v>5950</v>
      </c>
      <c r="E192" s="239">
        <v>5950</v>
      </c>
      <c r="F192" s="239">
        <v>27445</v>
      </c>
      <c r="G192" s="240">
        <v>16700</v>
      </c>
      <c r="H192" s="241"/>
      <c r="I192" s="245">
        <f t="shared" si="13"/>
        <v>0.017857142857142794</v>
      </c>
      <c r="J192" s="246">
        <f t="shared" si="14"/>
        <v>0.008474576271186418</v>
      </c>
      <c r="K192" s="246">
        <f t="shared" si="15"/>
        <v>0.017094017094017033</v>
      </c>
      <c r="L192" s="246">
        <f t="shared" si="16"/>
        <v>0.018707546119297813</v>
      </c>
      <c r="M192" s="247">
        <f t="shared" si="17"/>
        <v>0.018292682926829285</v>
      </c>
    </row>
    <row r="193" spans="2:13" ht="12">
      <c r="B193" s="238">
        <v>37900</v>
      </c>
      <c r="C193" s="239">
        <v>6200</v>
      </c>
      <c r="D193" s="239">
        <v>6550</v>
      </c>
      <c r="E193" s="239">
        <v>6500</v>
      </c>
      <c r="F193" s="239">
        <v>28452</v>
      </c>
      <c r="G193" s="240">
        <v>17100</v>
      </c>
      <c r="H193" s="241"/>
      <c r="I193" s="245">
        <f t="shared" si="13"/>
        <v>0.08771929824561409</v>
      </c>
      <c r="J193" s="246">
        <f t="shared" si="14"/>
        <v>0.10084033613445387</v>
      </c>
      <c r="K193" s="246">
        <f t="shared" si="15"/>
        <v>0.09243697478991586</v>
      </c>
      <c r="L193" s="246">
        <f t="shared" si="16"/>
        <v>0.036691564948077904</v>
      </c>
      <c r="M193" s="247">
        <f t="shared" si="17"/>
        <v>0.0239520958083832</v>
      </c>
    </row>
    <row r="194" spans="2:13" ht="12">
      <c r="B194" s="238">
        <v>37901</v>
      </c>
      <c r="C194" s="239">
        <v>6150</v>
      </c>
      <c r="D194" s="239">
        <v>6450</v>
      </c>
      <c r="E194" s="239">
        <v>6350</v>
      </c>
      <c r="F194" s="239">
        <v>27193</v>
      </c>
      <c r="G194" s="240">
        <v>17000</v>
      </c>
      <c r="H194" s="241"/>
      <c r="I194" s="245">
        <f t="shared" si="13"/>
        <v>-0.008064516129032251</v>
      </c>
      <c r="J194" s="246">
        <f t="shared" si="14"/>
        <v>-0.01526717557251911</v>
      </c>
      <c r="K194" s="246">
        <f t="shared" si="15"/>
        <v>-0.023076923076923106</v>
      </c>
      <c r="L194" s="246">
        <f t="shared" si="16"/>
        <v>-0.044249964853085855</v>
      </c>
      <c r="M194" s="247">
        <f t="shared" si="17"/>
        <v>-0.005847953216374324</v>
      </c>
    </row>
    <row r="195" spans="2:13" ht="12">
      <c r="B195" s="238">
        <v>37902</v>
      </c>
      <c r="C195" s="239">
        <v>6100</v>
      </c>
      <c r="D195" s="239">
        <v>6300</v>
      </c>
      <c r="E195" s="239">
        <v>6050</v>
      </c>
      <c r="F195" s="239">
        <v>26689</v>
      </c>
      <c r="G195" s="240">
        <v>16800</v>
      </c>
      <c r="H195" s="241"/>
      <c r="I195" s="245">
        <f t="shared" si="13"/>
        <v>-0.008130081300813052</v>
      </c>
      <c r="J195" s="246">
        <f t="shared" si="14"/>
        <v>-0.023255813953488413</v>
      </c>
      <c r="K195" s="246">
        <f t="shared" si="15"/>
        <v>-0.047244094488189003</v>
      </c>
      <c r="L195" s="246">
        <f t="shared" si="16"/>
        <v>-0.01853418159085063</v>
      </c>
      <c r="M195" s="247">
        <f t="shared" si="17"/>
        <v>-0.0117647058823529</v>
      </c>
    </row>
    <row r="196" spans="2:13" ht="12">
      <c r="B196" s="238">
        <v>37903</v>
      </c>
      <c r="C196" s="239">
        <v>6250</v>
      </c>
      <c r="D196" s="239">
        <v>6250</v>
      </c>
      <c r="E196" s="239">
        <v>5950</v>
      </c>
      <c r="F196" s="239">
        <v>26689</v>
      </c>
      <c r="G196" s="240">
        <v>16600</v>
      </c>
      <c r="H196" s="241"/>
      <c r="I196" s="245">
        <f t="shared" si="13"/>
        <v>0.024590163934426146</v>
      </c>
      <c r="J196" s="246">
        <f t="shared" si="14"/>
        <v>-0.007936507936507908</v>
      </c>
      <c r="K196" s="246">
        <f t="shared" si="15"/>
        <v>-0.016528925619834656</v>
      </c>
      <c r="L196" s="246">
        <f t="shared" si="16"/>
        <v>0</v>
      </c>
      <c r="M196" s="247">
        <f t="shared" si="17"/>
        <v>-0.011904761904761862</v>
      </c>
    </row>
    <row r="197" spans="2:13" ht="12">
      <c r="B197" s="238">
        <v>37904</v>
      </c>
      <c r="C197" s="239">
        <v>6500</v>
      </c>
      <c r="D197" s="239">
        <v>6350</v>
      </c>
      <c r="E197" s="239">
        <v>6300</v>
      </c>
      <c r="F197" s="239">
        <v>27948</v>
      </c>
      <c r="G197" s="240">
        <v>16800</v>
      </c>
      <c r="H197" s="241"/>
      <c r="I197" s="245">
        <f aca="true" t="shared" si="18" ref="I197:I260">C197/C196-1</f>
        <v>0.040000000000000036</v>
      </c>
      <c r="J197" s="246">
        <f t="shared" si="14"/>
        <v>0.016000000000000014</v>
      </c>
      <c r="K197" s="246">
        <f t="shared" si="15"/>
        <v>0.05882352941176472</v>
      </c>
      <c r="L197" s="246">
        <f t="shared" si="16"/>
        <v>0.04717299261868191</v>
      </c>
      <c r="M197" s="247">
        <f t="shared" si="17"/>
        <v>0.012048192771084265</v>
      </c>
    </row>
    <row r="198" spans="2:13" ht="12">
      <c r="B198" s="238">
        <v>37907</v>
      </c>
      <c r="C198" s="239">
        <v>6250</v>
      </c>
      <c r="D198" s="239">
        <v>6200</v>
      </c>
      <c r="E198" s="239">
        <v>6250</v>
      </c>
      <c r="F198" s="239">
        <v>27697</v>
      </c>
      <c r="G198" s="240">
        <v>16500</v>
      </c>
      <c r="H198" s="241"/>
      <c r="I198" s="245">
        <f t="shared" si="18"/>
        <v>-0.038461538461538436</v>
      </c>
      <c r="J198" s="246">
        <f t="shared" si="14"/>
        <v>-0.023622047244094446</v>
      </c>
      <c r="K198" s="246">
        <f t="shared" si="15"/>
        <v>-0.007936507936507908</v>
      </c>
      <c r="L198" s="246">
        <f t="shared" si="16"/>
        <v>-0.008980964648633183</v>
      </c>
      <c r="M198" s="247">
        <f t="shared" si="17"/>
        <v>-0.017857142857142905</v>
      </c>
    </row>
    <row r="199" spans="2:13" ht="12">
      <c r="B199" s="238">
        <v>37908</v>
      </c>
      <c r="C199" s="239">
        <v>6300</v>
      </c>
      <c r="D199" s="239">
        <v>6150</v>
      </c>
      <c r="E199" s="239">
        <v>6450</v>
      </c>
      <c r="F199" s="239">
        <v>27193</v>
      </c>
      <c r="G199" s="240">
        <v>16400</v>
      </c>
      <c r="H199" s="241"/>
      <c r="I199" s="245">
        <f t="shared" si="18"/>
        <v>0.008000000000000007</v>
      </c>
      <c r="J199" s="246">
        <f t="shared" si="14"/>
        <v>-0.008064516129032251</v>
      </c>
      <c r="K199" s="246">
        <f t="shared" si="15"/>
        <v>0.03200000000000003</v>
      </c>
      <c r="L199" s="246">
        <f t="shared" si="16"/>
        <v>-0.01819691663357037</v>
      </c>
      <c r="M199" s="247">
        <f t="shared" si="17"/>
        <v>-0.0060606060606061</v>
      </c>
    </row>
    <row r="200" spans="2:13" ht="12">
      <c r="B200" s="238">
        <v>37909</v>
      </c>
      <c r="C200" s="239">
        <v>6450</v>
      </c>
      <c r="D200" s="239">
        <v>6400</v>
      </c>
      <c r="E200" s="239">
        <v>6650</v>
      </c>
      <c r="F200" s="239">
        <v>27193</v>
      </c>
      <c r="G200" s="240">
        <v>16600</v>
      </c>
      <c r="H200" s="241"/>
      <c r="I200" s="245">
        <f t="shared" si="18"/>
        <v>0.023809523809523725</v>
      </c>
      <c r="J200" s="246">
        <f t="shared" si="14"/>
        <v>0.04065040650406515</v>
      </c>
      <c r="K200" s="246">
        <f t="shared" si="15"/>
        <v>0.03100775193798455</v>
      </c>
      <c r="L200" s="246">
        <f t="shared" si="16"/>
        <v>0</v>
      </c>
      <c r="M200" s="247">
        <f t="shared" si="17"/>
        <v>0.012195121951219523</v>
      </c>
    </row>
    <row r="201" spans="2:13" ht="12">
      <c r="B201" s="238">
        <v>37910</v>
      </c>
      <c r="C201" s="239">
        <v>6750</v>
      </c>
      <c r="D201" s="239">
        <v>6500</v>
      </c>
      <c r="E201" s="239">
        <v>6700</v>
      </c>
      <c r="F201" s="239">
        <v>27445</v>
      </c>
      <c r="G201" s="240">
        <v>16400</v>
      </c>
      <c r="H201" s="241"/>
      <c r="I201" s="245">
        <f t="shared" si="18"/>
        <v>0.04651162790697683</v>
      </c>
      <c r="J201" s="246">
        <f t="shared" si="14"/>
        <v>0.015625</v>
      </c>
      <c r="K201" s="246">
        <f t="shared" si="15"/>
        <v>0.007518796992481258</v>
      </c>
      <c r="L201" s="246">
        <f t="shared" si="16"/>
        <v>0.009267090795425315</v>
      </c>
      <c r="M201" s="247">
        <f t="shared" si="17"/>
        <v>-0.012048192771084376</v>
      </c>
    </row>
    <row r="202" spans="2:13" ht="12">
      <c r="B202" s="238">
        <v>37911</v>
      </c>
      <c r="C202" s="239">
        <v>6700</v>
      </c>
      <c r="D202" s="239">
        <v>6400</v>
      </c>
      <c r="E202" s="239">
        <v>6750</v>
      </c>
      <c r="F202" s="239">
        <v>26689</v>
      </c>
      <c r="G202" s="240">
        <v>16300</v>
      </c>
      <c r="H202" s="241"/>
      <c r="I202" s="245">
        <f t="shared" si="18"/>
        <v>-0.007407407407407418</v>
      </c>
      <c r="J202" s="246">
        <f t="shared" si="14"/>
        <v>-0.01538461538461533</v>
      </c>
      <c r="K202" s="246">
        <f t="shared" si="15"/>
        <v>0.00746268656716409</v>
      </c>
      <c r="L202" s="246">
        <f t="shared" si="16"/>
        <v>-0.02754600109309524</v>
      </c>
      <c r="M202" s="247">
        <f t="shared" si="17"/>
        <v>-0.0060975609756097615</v>
      </c>
    </row>
    <row r="203" spans="2:13" ht="12">
      <c r="B203" s="238">
        <v>37914</v>
      </c>
      <c r="C203" s="239">
        <v>6750</v>
      </c>
      <c r="D203" s="239">
        <v>6450</v>
      </c>
      <c r="E203" s="239">
        <v>6650</v>
      </c>
      <c r="F203" s="239">
        <v>26689</v>
      </c>
      <c r="G203" s="240">
        <v>16300</v>
      </c>
      <c r="H203" s="241"/>
      <c r="I203" s="245">
        <f t="shared" si="18"/>
        <v>0.00746268656716409</v>
      </c>
      <c r="J203" s="246">
        <f t="shared" si="14"/>
        <v>0.0078125</v>
      </c>
      <c r="K203" s="246">
        <f t="shared" si="15"/>
        <v>-0.014814814814814836</v>
      </c>
      <c r="L203" s="246">
        <f t="shared" si="16"/>
        <v>0</v>
      </c>
      <c r="M203" s="247">
        <f t="shared" si="17"/>
        <v>0</v>
      </c>
    </row>
    <row r="204" spans="2:13" ht="12">
      <c r="B204" s="238">
        <v>37915</v>
      </c>
      <c r="C204" s="239">
        <v>6750</v>
      </c>
      <c r="D204" s="239">
        <v>6450</v>
      </c>
      <c r="E204" s="239">
        <v>6700</v>
      </c>
      <c r="F204" s="239">
        <v>26689</v>
      </c>
      <c r="G204" s="240">
        <v>16400</v>
      </c>
      <c r="H204" s="241"/>
      <c r="I204" s="245">
        <f t="shared" si="18"/>
        <v>0</v>
      </c>
      <c r="J204" s="246">
        <f t="shared" si="14"/>
        <v>0</v>
      </c>
      <c r="K204" s="246">
        <f t="shared" si="15"/>
        <v>0.007518796992481258</v>
      </c>
      <c r="L204" s="246">
        <f t="shared" si="16"/>
        <v>0</v>
      </c>
      <c r="M204" s="247">
        <f t="shared" si="17"/>
        <v>0.006134969325153339</v>
      </c>
    </row>
    <row r="205" spans="2:13" ht="12">
      <c r="B205" s="238">
        <v>37916</v>
      </c>
      <c r="C205" s="239">
        <v>6500</v>
      </c>
      <c r="D205" s="239">
        <v>6200</v>
      </c>
      <c r="E205" s="239">
        <v>6500</v>
      </c>
      <c r="F205" s="239">
        <v>26689</v>
      </c>
      <c r="G205" s="240">
        <v>16200</v>
      </c>
      <c r="H205" s="241"/>
      <c r="I205" s="245">
        <f t="shared" si="18"/>
        <v>-0.03703703703703709</v>
      </c>
      <c r="J205" s="246">
        <f t="shared" si="14"/>
        <v>-0.03875968992248058</v>
      </c>
      <c r="K205" s="246">
        <f t="shared" si="15"/>
        <v>-0.02985074626865669</v>
      </c>
      <c r="L205" s="246">
        <f t="shared" si="16"/>
        <v>0</v>
      </c>
      <c r="M205" s="247">
        <f t="shared" si="17"/>
        <v>-0.012195121951219523</v>
      </c>
    </row>
    <row r="206" spans="2:13" ht="12">
      <c r="B206" s="238">
        <v>37917</v>
      </c>
      <c r="C206" s="239">
        <v>6350</v>
      </c>
      <c r="D206" s="239">
        <v>5900</v>
      </c>
      <c r="E206" s="239">
        <v>6200</v>
      </c>
      <c r="F206" s="239">
        <v>26186</v>
      </c>
      <c r="G206" s="240">
        <v>16000</v>
      </c>
      <c r="H206" s="241"/>
      <c r="I206" s="245">
        <f t="shared" si="18"/>
        <v>-0.023076923076923106</v>
      </c>
      <c r="J206" s="246">
        <f t="shared" si="14"/>
        <v>-0.048387096774193505</v>
      </c>
      <c r="K206" s="246">
        <f t="shared" si="15"/>
        <v>-0.0461538461538461</v>
      </c>
      <c r="L206" s="246">
        <f t="shared" si="16"/>
        <v>-0.01884671587545428</v>
      </c>
      <c r="M206" s="247">
        <f t="shared" si="17"/>
        <v>-0.012345679012345734</v>
      </c>
    </row>
    <row r="207" spans="2:13" ht="12">
      <c r="B207" s="238">
        <v>37918</v>
      </c>
      <c r="C207" s="239">
        <v>6400</v>
      </c>
      <c r="D207" s="239">
        <v>5950</v>
      </c>
      <c r="E207" s="239">
        <v>6200</v>
      </c>
      <c r="F207" s="239">
        <v>25179</v>
      </c>
      <c r="G207" s="240">
        <v>15800</v>
      </c>
      <c r="H207" s="241"/>
      <c r="I207" s="245">
        <f t="shared" si="18"/>
        <v>0.007874015748031482</v>
      </c>
      <c r="J207" s="246">
        <f t="shared" si="14"/>
        <v>0.008474576271186418</v>
      </c>
      <c r="K207" s="246">
        <f t="shared" si="15"/>
        <v>0</v>
      </c>
      <c r="L207" s="246">
        <f t="shared" si="16"/>
        <v>-0.03845566333155126</v>
      </c>
      <c r="M207" s="247">
        <f t="shared" si="17"/>
        <v>-0.012499999999999956</v>
      </c>
    </row>
    <row r="208" spans="2:13" ht="12">
      <c r="B208" s="238">
        <v>37921</v>
      </c>
      <c r="C208" s="239">
        <v>6300</v>
      </c>
      <c r="D208" s="239">
        <v>5750</v>
      </c>
      <c r="E208" s="239">
        <v>6150</v>
      </c>
      <c r="F208" s="239">
        <v>24549</v>
      </c>
      <c r="G208" s="240">
        <v>15700</v>
      </c>
      <c r="H208" s="241"/>
      <c r="I208" s="245">
        <f t="shared" si="18"/>
        <v>-0.015625</v>
      </c>
      <c r="J208" s="246">
        <f t="shared" si="14"/>
        <v>-0.03361344537815125</v>
      </c>
      <c r="K208" s="246">
        <f t="shared" si="15"/>
        <v>-0.008064516129032251</v>
      </c>
      <c r="L208" s="246">
        <f t="shared" si="16"/>
        <v>-0.025020850708924125</v>
      </c>
      <c r="M208" s="247">
        <f t="shared" si="17"/>
        <v>-0.006329113924050667</v>
      </c>
    </row>
    <row r="209" spans="2:13" ht="12">
      <c r="B209" s="238">
        <v>37922</v>
      </c>
      <c r="C209" s="239">
        <v>6450</v>
      </c>
      <c r="D209" s="239">
        <v>5800</v>
      </c>
      <c r="E209" s="239">
        <v>6200</v>
      </c>
      <c r="F209" s="239">
        <v>24549</v>
      </c>
      <c r="G209" s="240">
        <v>15900</v>
      </c>
      <c r="H209" s="241"/>
      <c r="I209" s="245">
        <f t="shared" si="18"/>
        <v>0.023809523809523725</v>
      </c>
      <c r="J209" s="246">
        <f t="shared" si="14"/>
        <v>0.008695652173912993</v>
      </c>
      <c r="K209" s="246">
        <f t="shared" si="15"/>
        <v>0.008130081300812941</v>
      </c>
      <c r="L209" s="246">
        <f t="shared" si="16"/>
        <v>0</v>
      </c>
      <c r="M209" s="247">
        <f t="shared" si="17"/>
        <v>0.01273885350318471</v>
      </c>
    </row>
    <row r="210" spans="2:13" ht="12">
      <c r="B210" s="238">
        <v>37924</v>
      </c>
      <c r="C210" s="239">
        <v>6800</v>
      </c>
      <c r="D210" s="239">
        <v>5950</v>
      </c>
      <c r="E210" s="239">
        <v>6650</v>
      </c>
      <c r="F210" s="239">
        <v>25808</v>
      </c>
      <c r="G210" s="240">
        <v>15600</v>
      </c>
      <c r="H210" s="241"/>
      <c r="I210" s="245">
        <f t="shared" si="18"/>
        <v>0.054263565891472965</v>
      </c>
      <c r="J210" s="246">
        <f t="shared" si="14"/>
        <v>0.02586206896551735</v>
      </c>
      <c r="K210" s="246">
        <f t="shared" si="15"/>
        <v>0.07258064516129026</v>
      </c>
      <c r="L210" s="246">
        <f t="shared" si="16"/>
        <v>0.051285184732575706</v>
      </c>
      <c r="M210" s="247">
        <f t="shared" si="17"/>
        <v>-0.018867924528301883</v>
      </c>
    </row>
    <row r="211" spans="2:13" ht="12">
      <c r="B211" s="238">
        <v>37925</v>
      </c>
      <c r="C211" s="239">
        <v>7150</v>
      </c>
      <c r="D211" s="239">
        <v>6150</v>
      </c>
      <c r="E211" s="239">
        <v>6950</v>
      </c>
      <c r="F211" s="239">
        <v>26186</v>
      </c>
      <c r="G211" s="240">
        <v>15700</v>
      </c>
      <c r="H211" s="241"/>
      <c r="I211" s="245">
        <f t="shared" si="18"/>
        <v>0.05147058823529416</v>
      </c>
      <c r="J211" s="246">
        <f t="shared" si="14"/>
        <v>0.03361344537815136</v>
      </c>
      <c r="K211" s="246">
        <f t="shared" si="15"/>
        <v>0.04511278195488733</v>
      </c>
      <c r="L211" s="246">
        <f t="shared" si="16"/>
        <v>0.01464662120272786</v>
      </c>
      <c r="M211" s="247">
        <f t="shared" si="17"/>
        <v>0.0064102564102563875</v>
      </c>
    </row>
    <row r="212" spans="2:13" ht="12">
      <c r="B212" s="238">
        <v>37928</v>
      </c>
      <c r="C212" s="239">
        <v>7600</v>
      </c>
      <c r="D212" s="239">
        <v>6100</v>
      </c>
      <c r="E212" s="239">
        <v>7450</v>
      </c>
      <c r="F212" s="239">
        <v>26438</v>
      </c>
      <c r="G212" s="240">
        <v>15800</v>
      </c>
      <c r="H212" s="241"/>
      <c r="I212" s="245">
        <f t="shared" si="18"/>
        <v>0.06293706293706292</v>
      </c>
      <c r="J212" s="246">
        <f aca="true" t="shared" si="19" ref="J212:J275">D212/D211-1</f>
        <v>-0.008130081300813052</v>
      </c>
      <c r="K212" s="246">
        <f aca="true" t="shared" si="20" ref="K212:K275">E212/E211-1</f>
        <v>0.07194244604316546</v>
      </c>
      <c r="L212" s="246">
        <f aca="true" t="shared" si="21" ref="L212:L275">F212/F211-1</f>
        <v>0.009623462919116976</v>
      </c>
      <c r="M212" s="247">
        <f aca="true" t="shared" si="22" ref="M212:M275">G212/G211-1</f>
        <v>0.006369426751592355</v>
      </c>
    </row>
    <row r="213" spans="2:13" ht="12">
      <c r="B213" s="238">
        <v>37929</v>
      </c>
      <c r="C213" s="239">
        <v>7300</v>
      </c>
      <c r="D213" s="239">
        <v>6300</v>
      </c>
      <c r="E213" s="239">
        <v>7450</v>
      </c>
      <c r="F213" s="239">
        <v>26186</v>
      </c>
      <c r="G213" s="240">
        <v>15700</v>
      </c>
      <c r="H213" s="241"/>
      <c r="I213" s="245">
        <f t="shared" si="18"/>
        <v>-0.03947368421052633</v>
      </c>
      <c r="J213" s="246">
        <f t="shared" si="19"/>
        <v>0.032786885245901676</v>
      </c>
      <c r="K213" s="246">
        <f t="shared" si="20"/>
        <v>0</v>
      </c>
      <c r="L213" s="246">
        <f t="shared" si="21"/>
        <v>-0.009531734624404264</v>
      </c>
      <c r="M213" s="247">
        <f t="shared" si="22"/>
        <v>-0.006329113924050667</v>
      </c>
    </row>
    <row r="214" spans="2:13" ht="12">
      <c r="B214" s="238">
        <v>37930</v>
      </c>
      <c r="C214" s="239">
        <v>7500</v>
      </c>
      <c r="D214" s="239">
        <v>6350</v>
      </c>
      <c r="E214" s="239">
        <v>7500</v>
      </c>
      <c r="F214" s="239">
        <v>25934</v>
      </c>
      <c r="G214" s="240">
        <v>15900</v>
      </c>
      <c r="H214" s="241"/>
      <c r="I214" s="245">
        <f t="shared" si="18"/>
        <v>0.027397260273972712</v>
      </c>
      <c r="J214" s="246">
        <f t="shared" si="19"/>
        <v>0.007936507936507908</v>
      </c>
      <c r="K214" s="246">
        <f t="shared" si="20"/>
        <v>0.006711409395973256</v>
      </c>
      <c r="L214" s="246">
        <f t="shared" si="21"/>
        <v>-0.009623462919117087</v>
      </c>
      <c r="M214" s="247">
        <f t="shared" si="22"/>
        <v>0.01273885350318471</v>
      </c>
    </row>
    <row r="215" spans="2:13" ht="12">
      <c r="B215" s="238">
        <v>37931</v>
      </c>
      <c r="C215" s="239">
        <v>7150</v>
      </c>
      <c r="D215" s="239">
        <v>6150</v>
      </c>
      <c r="E215" s="239">
        <v>7050</v>
      </c>
      <c r="F215" s="239">
        <v>24801</v>
      </c>
      <c r="G215" s="240">
        <v>15400</v>
      </c>
      <c r="H215" s="241"/>
      <c r="I215" s="245">
        <f t="shared" si="18"/>
        <v>-0.046666666666666634</v>
      </c>
      <c r="J215" s="246">
        <f t="shared" si="19"/>
        <v>-0.03149606299212604</v>
      </c>
      <c r="K215" s="246">
        <f t="shared" si="20"/>
        <v>-0.06000000000000005</v>
      </c>
      <c r="L215" s="246">
        <f t="shared" si="21"/>
        <v>-0.04368782293514306</v>
      </c>
      <c r="M215" s="247">
        <f t="shared" si="22"/>
        <v>-0.03144654088050314</v>
      </c>
    </row>
    <row r="216" spans="2:13" ht="12">
      <c r="B216" s="238">
        <v>37932</v>
      </c>
      <c r="C216" s="239">
        <v>7150</v>
      </c>
      <c r="D216" s="239">
        <v>6200</v>
      </c>
      <c r="E216" s="239">
        <v>7150</v>
      </c>
      <c r="F216" s="239">
        <v>24675</v>
      </c>
      <c r="G216" s="240">
        <v>15500</v>
      </c>
      <c r="H216" s="241"/>
      <c r="I216" s="245">
        <f t="shared" si="18"/>
        <v>0</v>
      </c>
      <c r="J216" s="246">
        <f t="shared" si="19"/>
        <v>0.008130081300812941</v>
      </c>
      <c r="K216" s="246">
        <f t="shared" si="20"/>
        <v>0.014184397163120588</v>
      </c>
      <c r="L216" s="246">
        <f t="shared" si="21"/>
        <v>-0.005080440304826461</v>
      </c>
      <c r="M216" s="247">
        <f t="shared" si="22"/>
        <v>0.006493506493506551</v>
      </c>
    </row>
    <row r="217" spans="2:13" ht="12">
      <c r="B217" s="238">
        <v>37935</v>
      </c>
      <c r="C217" s="239">
        <v>7050</v>
      </c>
      <c r="D217" s="239">
        <v>6200</v>
      </c>
      <c r="E217" s="239">
        <v>7050</v>
      </c>
      <c r="F217" s="239">
        <v>24927</v>
      </c>
      <c r="G217" s="240">
        <v>15300</v>
      </c>
      <c r="H217" s="241"/>
      <c r="I217" s="245">
        <f t="shared" si="18"/>
        <v>-0.013986013986013957</v>
      </c>
      <c r="J217" s="246">
        <f t="shared" si="19"/>
        <v>0</v>
      </c>
      <c r="K217" s="246">
        <f t="shared" si="20"/>
        <v>-0.013986013986013957</v>
      </c>
      <c r="L217" s="246">
        <f t="shared" si="21"/>
        <v>0.010212765957446912</v>
      </c>
      <c r="M217" s="247">
        <f t="shared" si="22"/>
        <v>-0.012903225806451646</v>
      </c>
    </row>
    <row r="218" spans="2:13" ht="12">
      <c r="B218" s="238">
        <v>37936</v>
      </c>
      <c r="C218" s="239">
        <v>6700</v>
      </c>
      <c r="D218" s="239">
        <v>6150</v>
      </c>
      <c r="E218" s="239">
        <v>7000</v>
      </c>
      <c r="F218" s="239">
        <v>25053</v>
      </c>
      <c r="G218" s="240">
        <v>15500</v>
      </c>
      <c r="H218" s="241"/>
      <c r="I218" s="245">
        <f t="shared" si="18"/>
        <v>-0.049645390070921946</v>
      </c>
      <c r="J218" s="246">
        <f t="shared" si="19"/>
        <v>-0.008064516129032251</v>
      </c>
      <c r="K218" s="246">
        <f t="shared" si="20"/>
        <v>-0.007092198581560294</v>
      </c>
      <c r="L218" s="246">
        <f t="shared" si="21"/>
        <v>0.005054759898904804</v>
      </c>
      <c r="M218" s="247">
        <f t="shared" si="22"/>
        <v>0.013071895424836555</v>
      </c>
    </row>
    <row r="219" spans="2:13" ht="12">
      <c r="B219" s="238">
        <v>37937</v>
      </c>
      <c r="C219" s="239">
        <v>7000</v>
      </c>
      <c r="D219" s="239">
        <v>6250</v>
      </c>
      <c r="E219" s="239">
        <v>7200</v>
      </c>
      <c r="F219" s="239">
        <v>25934</v>
      </c>
      <c r="G219" s="240">
        <v>15800</v>
      </c>
      <c r="H219" s="241"/>
      <c r="I219" s="245">
        <f t="shared" si="18"/>
        <v>0.04477611940298498</v>
      </c>
      <c r="J219" s="246">
        <f t="shared" si="19"/>
        <v>0.016260162601626105</v>
      </c>
      <c r="K219" s="246">
        <f t="shared" si="20"/>
        <v>0.02857142857142847</v>
      </c>
      <c r="L219" s="246">
        <f t="shared" si="21"/>
        <v>0.035165449247595015</v>
      </c>
      <c r="M219" s="247">
        <f t="shared" si="22"/>
        <v>0.019354838709677358</v>
      </c>
    </row>
    <row r="220" spans="2:13" ht="12">
      <c r="B220" s="238">
        <v>37938</v>
      </c>
      <c r="C220" s="239">
        <v>7100</v>
      </c>
      <c r="D220" s="239">
        <v>6250</v>
      </c>
      <c r="E220" s="239">
        <v>7250</v>
      </c>
      <c r="F220" s="239">
        <v>25934</v>
      </c>
      <c r="G220" s="240">
        <v>15500</v>
      </c>
      <c r="H220" s="241"/>
      <c r="I220" s="245">
        <f t="shared" si="18"/>
        <v>0.014285714285714235</v>
      </c>
      <c r="J220" s="246">
        <f t="shared" si="19"/>
        <v>0</v>
      </c>
      <c r="K220" s="246">
        <f t="shared" si="20"/>
        <v>0.00694444444444442</v>
      </c>
      <c r="L220" s="246">
        <f t="shared" si="21"/>
        <v>0</v>
      </c>
      <c r="M220" s="247">
        <f t="shared" si="22"/>
        <v>-0.01898734177215189</v>
      </c>
    </row>
    <row r="221" spans="2:13" ht="12">
      <c r="B221" s="238">
        <v>37939</v>
      </c>
      <c r="C221" s="239">
        <v>7050</v>
      </c>
      <c r="D221" s="239">
        <v>6300</v>
      </c>
      <c r="E221" s="239">
        <v>7350</v>
      </c>
      <c r="F221" s="239">
        <v>26186</v>
      </c>
      <c r="G221" s="240">
        <v>15500</v>
      </c>
      <c r="H221" s="241"/>
      <c r="I221" s="245">
        <f t="shared" si="18"/>
        <v>-0.007042253521126751</v>
      </c>
      <c r="J221" s="246">
        <f t="shared" si="19"/>
        <v>0.008000000000000007</v>
      </c>
      <c r="K221" s="246">
        <f t="shared" si="20"/>
        <v>0.01379310344827589</v>
      </c>
      <c r="L221" s="246">
        <f t="shared" si="21"/>
        <v>0.009716973856713107</v>
      </c>
      <c r="M221" s="247">
        <f t="shared" si="22"/>
        <v>0</v>
      </c>
    </row>
    <row r="222" spans="2:13" ht="12">
      <c r="B222" s="238">
        <v>37942</v>
      </c>
      <c r="C222" s="239">
        <v>6850</v>
      </c>
      <c r="D222" s="239">
        <v>6150</v>
      </c>
      <c r="E222" s="239">
        <v>7100</v>
      </c>
      <c r="F222" s="239">
        <v>27500</v>
      </c>
      <c r="G222" s="240">
        <v>15500</v>
      </c>
      <c r="H222" s="241"/>
      <c r="I222" s="245">
        <f t="shared" si="18"/>
        <v>-0.028368794326241176</v>
      </c>
      <c r="J222" s="246">
        <f t="shared" si="19"/>
        <v>-0.023809523809523836</v>
      </c>
      <c r="K222" s="246">
        <f t="shared" si="20"/>
        <v>-0.03401360544217691</v>
      </c>
      <c r="L222" s="246">
        <f t="shared" si="21"/>
        <v>0.0501794852211106</v>
      </c>
      <c r="M222" s="247">
        <f t="shared" si="22"/>
        <v>0</v>
      </c>
    </row>
    <row r="223" spans="2:13" ht="12">
      <c r="B223" s="238">
        <v>37943</v>
      </c>
      <c r="C223" s="239">
        <v>6850</v>
      </c>
      <c r="D223" s="239">
        <v>6200</v>
      </c>
      <c r="E223" s="239">
        <v>7100</v>
      </c>
      <c r="F223" s="239">
        <v>28000</v>
      </c>
      <c r="G223" s="240">
        <v>15400</v>
      </c>
      <c r="H223" s="241"/>
      <c r="I223" s="245">
        <f t="shared" si="18"/>
        <v>0</v>
      </c>
      <c r="J223" s="246">
        <f t="shared" si="19"/>
        <v>0.008130081300812941</v>
      </c>
      <c r="K223" s="246">
        <f t="shared" si="20"/>
        <v>0</v>
      </c>
      <c r="L223" s="246">
        <f t="shared" si="21"/>
        <v>0.018181818181818077</v>
      </c>
      <c r="M223" s="247">
        <f t="shared" si="22"/>
        <v>-0.006451612903225823</v>
      </c>
    </row>
    <row r="224" spans="2:13" ht="12">
      <c r="B224" s="238">
        <v>37944</v>
      </c>
      <c r="C224" s="239">
        <v>6850</v>
      </c>
      <c r="D224" s="239">
        <v>6150</v>
      </c>
      <c r="E224" s="239">
        <v>7100</v>
      </c>
      <c r="F224" s="239">
        <v>28250</v>
      </c>
      <c r="G224" s="240">
        <v>15300</v>
      </c>
      <c r="H224" s="241"/>
      <c r="I224" s="245">
        <f t="shared" si="18"/>
        <v>0</v>
      </c>
      <c r="J224" s="246">
        <f t="shared" si="19"/>
        <v>-0.008064516129032251</v>
      </c>
      <c r="K224" s="246">
        <f t="shared" si="20"/>
        <v>0</v>
      </c>
      <c r="L224" s="246">
        <f t="shared" si="21"/>
        <v>0.008928571428571397</v>
      </c>
      <c r="M224" s="247">
        <f t="shared" si="22"/>
        <v>-0.00649350649350644</v>
      </c>
    </row>
    <row r="225" spans="2:13" ht="12">
      <c r="B225" s="238">
        <v>37945</v>
      </c>
      <c r="C225" s="239">
        <v>6350</v>
      </c>
      <c r="D225" s="239">
        <v>5950</v>
      </c>
      <c r="E225" s="239">
        <v>6500</v>
      </c>
      <c r="F225" s="239">
        <v>27000</v>
      </c>
      <c r="G225" s="240">
        <v>15100</v>
      </c>
      <c r="H225" s="241"/>
      <c r="I225" s="245">
        <f t="shared" si="18"/>
        <v>-0.07299270072992703</v>
      </c>
      <c r="J225" s="246">
        <f t="shared" si="19"/>
        <v>-0.03252032520325199</v>
      </c>
      <c r="K225" s="246">
        <f t="shared" si="20"/>
        <v>-0.08450704225352113</v>
      </c>
      <c r="L225" s="246">
        <f t="shared" si="21"/>
        <v>-0.04424778761061943</v>
      </c>
      <c r="M225" s="247">
        <f t="shared" si="22"/>
        <v>-0.013071895424836555</v>
      </c>
    </row>
    <row r="226" spans="2:13" ht="12">
      <c r="B226" s="238">
        <v>37956</v>
      </c>
      <c r="C226" s="239">
        <v>6950</v>
      </c>
      <c r="D226" s="239">
        <v>6050</v>
      </c>
      <c r="E226" s="239">
        <v>7250</v>
      </c>
      <c r="F226" s="239">
        <v>28250</v>
      </c>
      <c r="G226" s="240">
        <v>15300</v>
      </c>
      <c r="H226" s="241"/>
      <c r="I226" s="245">
        <f t="shared" si="18"/>
        <v>0.09448818897637801</v>
      </c>
      <c r="J226" s="246">
        <f t="shared" si="19"/>
        <v>0.01680672268907557</v>
      </c>
      <c r="K226" s="246">
        <f t="shared" si="20"/>
        <v>0.11538461538461542</v>
      </c>
      <c r="L226" s="246">
        <f t="shared" si="21"/>
        <v>0.04629629629629628</v>
      </c>
      <c r="M226" s="247">
        <f t="shared" si="22"/>
        <v>0.013245033112582849</v>
      </c>
    </row>
    <row r="227" spans="2:13" ht="12">
      <c r="B227" s="238">
        <v>37957</v>
      </c>
      <c r="C227" s="239">
        <v>7100</v>
      </c>
      <c r="D227" s="239">
        <v>6200</v>
      </c>
      <c r="E227" s="239">
        <v>7350</v>
      </c>
      <c r="F227" s="239">
        <v>28250</v>
      </c>
      <c r="G227" s="240">
        <v>15700</v>
      </c>
      <c r="H227" s="241"/>
      <c r="I227" s="245">
        <f t="shared" si="18"/>
        <v>0.021582733812949728</v>
      </c>
      <c r="J227" s="246">
        <f t="shared" si="19"/>
        <v>0.024793388429751984</v>
      </c>
      <c r="K227" s="246">
        <f t="shared" si="20"/>
        <v>0.01379310344827589</v>
      </c>
      <c r="L227" s="246">
        <f t="shared" si="21"/>
        <v>0</v>
      </c>
      <c r="M227" s="247">
        <f t="shared" si="22"/>
        <v>0.02614379084967311</v>
      </c>
    </row>
    <row r="228" spans="2:13" ht="12">
      <c r="B228" s="238">
        <v>37958</v>
      </c>
      <c r="C228" s="239">
        <v>7200</v>
      </c>
      <c r="D228" s="239">
        <v>6250</v>
      </c>
      <c r="E228" s="239">
        <v>7400</v>
      </c>
      <c r="F228" s="239">
        <v>28000</v>
      </c>
      <c r="G228" s="240">
        <v>15600</v>
      </c>
      <c r="H228" s="241"/>
      <c r="I228" s="245">
        <f t="shared" si="18"/>
        <v>0.014084507042253502</v>
      </c>
      <c r="J228" s="246">
        <f t="shared" si="19"/>
        <v>0.008064516129032251</v>
      </c>
      <c r="K228" s="246">
        <f t="shared" si="20"/>
        <v>0.006802721088435382</v>
      </c>
      <c r="L228" s="246">
        <f t="shared" si="21"/>
        <v>-0.008849557522123908</v>
      </c>
      <c r="M228" s="247">
        <f t="shared" si="22"/>
        <v>-0.006369426751592355</v>
      </c>
    </row>
    <row r="229" spans="2:13" ht="12">
      <c r="B229" s="238">
        <v>37959</v>
      </c>
      <c r="C229" s="239">
        <v>7100</v>
      </c>
      <c r="D229" s="239">
        <v>6200</v>
      </c>
      <c r="E229" s="239">
        <v>7150</v>
      </c>
      <c r="F229" s="239">
        <v>27750</v>
      </c>
      <c r="G229" s="240">
        <v>15900</v>
      </c>
      <c r="H229" s="241"/>
      <c r="I229" s="245">
        <f t="shared" si="18"/>
        <v>-0.01388888888888884</v>
      </c>
      <c r="J229" s="246">
        <f t="shared" si="19"/>
        <v>-0.008000000000000007</v>
      </c>
      <c r="K229" s="246">
        <f t="shared" si="20"/>
        <v>-0.03378378378378377</v>
      </c>
      <c r="L229" s="246">
        <f t="shared" si="21"/>
        <v>-0.008928571428571397</v>
      </c>
      <c r="M229" s="247">
        <f t="shared" si="22"/>
        <v>0.019230769230769162</v>
      </c>
    </row>
    <row r="230" spans="2:13" ht="12">
      <c r="B230" s="238">
        <v>37960</v>
      </c>
      <c r="C230" s="239">
        <v>7150</v>
      </c>
      <c r="D230" s="239">
        <v>6300</v>
      </c>
      <c r="E230" s="239">
        <v>7200</v>
      </c>
      <c r="F230" s="239">
        <v>27750</v>
      </c>
      <c r="G230" s="240">
        <v>15800</v>
      </c>
      <c r="H230" s="241"/>
      <c r="I230" s="245">
        <f t="shared" si="18"/>
        <v>0.007042253521126751</v>
      </c>
      <c r="J230" s="246">
        <f t="shared" si="19"/>
        <v>0.016129032258064502</v>
      </c>
      <c r="K230" s="246">
        <f t="shared" si="20"/>
        <v>0.006993006993007089</v>
      </c>
      <c r="L230" s="246">
        <f t="shared" si="21"/>
        <v>0</v>
      </c>
      <c r="M230" s="247">
        <f t="shared" si="22"/>
        <v>-0.0062893081761006275</v>
      </c>
    </row>
    <row r="231" spans="2:13" ht="12">
      <c r="B231" s="238">
        <v>37963</v>
      </c>
      <c r="C231" s="239">
        <v>7350</v>
      </c>
      <c r="D231" s="239">
        <v>6500</v>
      </c>
      <c r="E231" s="239">
        <v>7350</v>
      </c>
      <c r="F231" s="239">
        <v>27500</v>
      </c>
      <c r="G231" s="240">
        <v>16400</v>
      </c>
      <c r="H231" s="241"/>
      <c r="I231" s="245">
        <f t="shared" si="18"/>
        <v>0.027972027972027913</v>
      </c>
      <c r="J231" s="246">
        <f t="shared" si="19"/>
        <v>0.031746031746031855</v>
      </c>
      <c r="K231" s="246">
        <f t="shared" si="20"/>
        <v>0.02083333333333326</v>
      </c>
      <c r="L231" s="246">
        <f t="shared" si="21"/>
        <v>-0.009009009009009028</v>
      </c>
      <c r="M231" s="247">
        <f t="shared" si="22"/>
        <v>0.03797468354430378</v>
      </c>
    </row>
    <row r="232" spans="2:13" ht="12">
      <c r="B232" s="238">
        <v>37964</v>
      </c>
      <c r="C232" s="239">
        <v>7250</v>
      </c>
      <c r="D232" s="239">
        <v>6550</v>
      </c>
      <c r="E232" s="239">
        <v>7450</v>
      </c>
      <c r="F232" s="239">
        <v>27250</v>
      </c>
      <c r="G232" s="240">
        <v>16000</v>
      </c>
      <c r="H232" s="241"/>
      <c r="I232" s="245">
        <f t="shared" si="18"/>
        <v>-0.013605442176870763</v>
      </c>
      <c r="J232" s="246">
        <f t="shared" si="19"/>
        <v>0.007692307692307665</v>
      </c>
      <c r="K232" s="246">
        <f t="shared" si="20"/>
        <v>0.013605442176870763</v>
      </c>
      <c r="L232" s="246">
        <f t="shared" si="21"/>
        <v>-0.009090909090909038</v>
      </c>
      <c r="M232" s="247">
        <f t="shared" si="22"/>
        <v>-0.024390243902439046</v>
      </c>
    </row>
    <row r="233" spans="2:13" ht="12">
      <c r="B233" s="238">
        <v>37965</v>
      </c>
      <c r="C233" s="239">
        <v>7100</v>
      </c>
      <c r="D233" s="239">
        <v>6450</v>
      </c>
      <c r="E233" s="239">
        <v>7300</v>
      </c>
      <c r="F233" s="239">
        <v>26500</v>
      </c>
      <c r="G233" s="240">
        <v>15900</v>
      </c>
      <c r="H233" s="241"/>
      <c r="I233" s="245">
        <f t="shared" si="18"/>
        <v>-0.020689655172413834</v>
      </c>
      <c r="J233" s="246">
        <f t="shared" si="19"/>
        <v>-0.01526717557251911</v>
      </c>
      <c r="K233" s="246">
        <f t="shared" si="20"/>
        <v>-0.020134228187919434</v>
      </c>
      <c r="L233" s="246">
        <f t="shared" si="21"/>
        <v>-0.02752293577981646</v>
      </c>
      <c r="M233" s="247">
        <f t="shared" si="22"/>
        <v>-0.006249999999999978</v>
      </c>
    </row>
    <row r="234" spans="2:13" ht="12">
      <c r="B234" s="238">
        <v>37966</v>
      </c>
      <c r="C234" s="239">
        <v>7050</v>
      </c>
      <c r="D234" s="239">
        <v>6500</v>
      </c>
      <c r="E234" s="239">
        <v>7200</v>
      </c>
      <c r="F234" s="239">
        <v>26750</v>
      </c>
      <c r="G234" s="240">
        <v>16000</v>
      </c>
      <c r="H234" s="241"/>
      <c r="I234" s="245">
        <f t="shared" si="18"/>
        <v>-0.007042253521126751</v>
      </c>
      <c r="J234" s="246">
        <f t="shared" si="19"/>
        <v>0.007751937984496138</v>
      </c>
      <c r="K234" s="246">
        <f t="shared" si="20"/>
        <v>-0.013698630136986356</v>
      </c>
      <c r="L234" s="246">
        <f t="shared" si="21"/>
        <v>0.009433962264151052</v>
      </c>
      <c r="M234" s="247">
        <f t="shared" si="22"/>
        <v>0.0062893081761006275</v>
      </c>
    </row>
    <row r="235" spans="2:13" ht="12">
      <c r="B235" s="238">
        <v>37967</v>
      </c>
      <c r="C235" s="239">
        <v>7150</v>
      </c>
      <c r="D235" s="239">
        <v>6750</v>
      </c>
      <c r="E235" s="239">
        <v>7100</v>
      </c>
      <c r="F235" s="239">
        <v>28250</v>
      </c>
      <c r="G235" s="240">
        <v>15800</v>
      </c>
      <c r="H235" s="241"/>
      <c r="I235" s="245">
        <f t="shared" si="18"/>
        <v>0.014184397163120588</v>
      </c>
      <c r="J235" s="246">
        <f t="shared" si="19"/>
        <v>0.03846153846153855</v>
      </c>
      <c r="K235" s="246">
        <f t="shared" si="20"/>
        <v>-0.01388888888888884</v>
      </c>
      <c r="L235" s="246">
        <f t="shared" si="21"/>
        <v>0.05607476635514019</v>
      </c>
      <c r="M235" s="247">
        <f t="shared" si="22"/>
        <v>-0.012499999999999956</v>
      </c>
    </row>
    <row r="236" spans="2:13" ht="12">
      <c r="B236" s="238">
        <v>37970</v>
      </c>
      <c r="C236" s="239">
        <v>7300</v>
      </c>
      <c r="D236" s="239">
        <v>6900</v>
      </c>
      <c r="E236" s="239">
        <v>7250</v>
      </c>
      <c r="F236" s="239">
        <v>29750</v>
      </c>
      <c r="G236" s="240">
        <v>16100</v>
      </c>
      <c r="H236" s="241"/>
      <c r="I236" s="245">
        <f t="shared" si="18"/>
        <v>0.020979020979021046</v>
      </c>
      <c r="J236" s="246">
        <f t="shared" si="19"/>
        <v>0.022222222222222143</v>
      </c>
      <c r="K236" s="246">
        <f t="shared" si="20"/>
        <v>0.021126760563380254</v>
      </c>
      <c r="L236" s="246">
        <f t="shared" si="21"/>
        <v>0.053097345132743445</v>
      </c>
      <c r="M236" s="247">
        <f t="shared" si="22"/>
        <v>0.018987341772152</v>
      </c>
    </row>
    <row r="237" spans="2:13" ht="12">
      <c r="B237" s="238">
        <v>37971</v>
      </c>
      <c r="C237" s="239">
        <v>7300</v>
      </c>
      <c r="D237" s="239">
        <v>7150</v>
      </c>
      <c r="E237" s="239">
        <v>7250</v>
      </c>
      <c r="F237" s="239">
        <v>31000</v>
      </c>
      <c r="G237" s="240">
        <v>16200</v>
      </c>
      <c r="H237" s="241"/>
      <c r="I237" s="245">
        <f t="shared" si="18"/>
        <v>0</v>
      </c>
      <c r="J237" s="246">
        <f t="shared" si="19"/>
        <v>0.03623188405797095</v>
      </c>
      <c r="K237" s="246">
        <f t="shared" si="20"/>
        <v>0</v>
      </c>
      <c r="L237" s="246">
        <f t="shared" si="21"/>
        <v>0.04201680672268915</v>
      </c>
      <c r="M237" s="247">
        <f t="shared" si="22"/>
        <v>0.006211180124223503</v>
      </c>
    </row>
    <row r="238" spans="2:13" ht="12">
      <c r="B238" s="238">
        <v>37972</v>
      </c>
      <c r="C238" s="239">
        <v>7250</v>
      </c>
      <c r="D238" s="239">
        <v>7150</v>
      </c>
      <c r="E238" s="239">
        <v>7200</v>
      </c>
      <c r="F238" s="239">
        <v>30250</v>
      </c>
      <c r="G238" s="240">
        <v>16500</v>
      </c>
      <c r="H238" s="241"/>
      <c r="I238" s="245">
        <f t="shared" si="18"/>
        <v>-0.006849315068493178</v>
      </c>
      <c r="J238" s="246">
        <f t="shared" si="19"/>
        <v>0</v>
      </c>
      <c r="K238" s="246">
        <f t="shared" si="20"/>
        <v>-0.006896551724137945</v>
      </c>
      <c r="L238" s="246">
        <f t="shared" si="21"/>
        <v>-0.024193548387096753</v>
      </c>
      <c r="M238" s="247">
        <f t="shared" si="22"/>
        <v>0.0185185185185186</v>
      </c>
    </row>
    <row r="239" spans="2:13" ht="12">
      <c r="B239" s="238">
        <v>37973</v>
      </c>
      <c r="C239" s="239">
        <v>7450</v>
      </c>
      <c r="D239" s="239">
        <v>7250</v>
      </c>
      <c r="E239" s="239">
        <v>7250</v>
      </c>
      <c r="F239" s="239">
        <v>31500</v>
      </c>
      <c r="G239" s="240">
        <v>16500</v>
      </c>
      <c r="H239" s="241"/>
      <c r="I239" s="245">
        <f t="shared" si="18"/>
        <v>0.02758620689655178</v>
      </c>
      <c r="J239" s="246">
        <f t="shared" si="19"/>
        <v>0.013986013986013957</v>
      </c>
      <c r="K239" s="246">
        <f t="shared" si="20"/>
        <v>0.00694444444444442</v>
      </c>
      <c r="L239" s="246">
        <f t="shared" si="21"/>
        <v>0.04132231404958686</v>
      </c>
      <c r="M239" s="247">
        <f t="shared" si="22"/>
        <v>0</v>
      </c>
    </row>
    <row r="240" spans="2:13" ht="12">
      <c r="B240" s="238">
        <v>37974</v>
      </c>
      <c r="C240" s="239">
        <v>7650</v>
      </c>
      <c r="D240" s="239">
        <v>7300</v>
      </c>
      <c r="E240" s="239">
        <v>7400</v>
      </c>
      <c r="F240" s="239">
        <v>32500</v>
      </c>
      <c r="G240" s="240">
        <v>16700</v>
      </c>
      <c r="H240" s="241"/>
      <c r="I240" s="245">
        <f t="shared" si="18"/>
        <v>0.02684563758389258</v>
      </c>
      <c r="J240" s="246">
        <f t="shared" si="19"/>
        <v>0.006896551724137945</v>
      </c>
      <c r="K240" s="246">
        <f t="shared" si="20"/>
        <v>0.020689655172413834</v>
      </c>
      <c r="L240" s="246">
        <f t="shared" si="21"/>
        <v>0.031746031746031855</v>
      </c>
      <c r="M240" s="247">
        <f t="shared" si="22"/>
        <v>0.0121212121212122</v>
      </c>
    </row>
    <row r="241" spans="2:13" ht="12">
      <c r="B241" s="238">
        <v>37977</v>
      </c>
      <c r="C241" s="239">
        <v>7900</v>
      </c>
      <c r="D241" s="239">
        <v>7300</v>
      </c>
      <c r="E241" s="239">
        <v>7250</v>
      </c>
      <c r="F241" s="239">
        <v>33500</v>
      </c>
      <c r="G241" s="240">
        <v>16900</v>
      </c>
      <c r="H241" s="241"/>
      <c r="I241" s="245">
        <f t="shared" si="18"/>
        <v>0.03267973856209161</v>
      </c>
      <c r="J241" s="246">
        <f t="shared" si="19"/>
        <v>0</v>
      </c>
      <c r="K241" s="246">
        <f t="shared" si="20"/>
        <v>-0.020270270270270285</v>
      </c>
      <c r="L241" s="246">
        <f t="shared" si="21"/>
        <v>0.03076923076923066</v>
      </c>
      <c r="M241" s="247">
        <f t="shared" si="22"/>
        <v>0.011976047904191711</v>
      </c>
    </row>
    <row r="242" spans="2:13" ht="12">
      <c r="B242" s="238">
        <v>37978</v>
      </c>
      <c r="C242" s="239">
        <v>7900</v>
      </c>
      <c r="D242" s="239">
        <v>7300</v>
      </c>
      <c r="E242" s="239">
        <v>7400</v>
      </c>
      <c r="F242" s="239">
        <v>33000</v>
      </c>
      <c r="G242" s="240">
        <v>17000</v>
      </c>
      <c r="H242" s="241"/>
      <c r="I242" s="245">
        <f t="shared" si="18"/>
        <v>0</v>
      </c>
      <c r="J242" s="246">
        <f t="shared" si="19"/>
        <v>0</v>
      </c>
      <c r="K242" s="246">
        <f t="shared" si="20"/>
        <v>0.020689655172413834</v>
      </c>
      <c r="L242" s="246">
        <f t="shared" si="21"/>
        <v>-0.014925373134328401</v>
      </c>
      <c r="M242" s="247">
        <f t="shared" si="22"/>
        <v>0.00591715976331364</v>
      </c>
    </row>
    <row r="243" spans="2:13" ht="12">
      <c r="B243" s="238">
        <v>37979</v>
      </c>
      <c r="C243" s="239">
        <v>7850</v>
      </c>
      <c r="D243" s="239">
        <v>7200</v>
      </c>
      <c r="E243" s="239">
        <v>7450</v>
      </c>
      <c r="F243" s="239">
        <v>31500</v>
      </c>
      <c r="G243" s="240">
        <v>17100</v>
      </c>
      <c r="H243" s="241"/>
      <c r="I243" s="245">
        <f t="shared" si="18"/>
        <v>-0.006329113924050667</v>
      </c>
      <c r="J243" s="246">
        <f t="shared" si="19"/>
        <v>-0.013698630136986356</v>
      </c>
      <c r="K243" s="246">
        <f t="shared" si="20"/>
        <v>0.006756756756756799</v>
      </c>
      <c r="L243" s="246">
        <f t="shared" si="21"/>
        <v>-0.045454545454545414</v>
      </c>
      <c r="M243" s="247">
        <f t="shared" si="22"/>
        <v>0.00588235294117645</v>
      </c>
    </row>
    <row r="244" spans="2:13" ht="12">
      <c r="B244" s="238">
        <v>37980</v>
      </c>
      <c r="C244" s="239">
        <v>7600</v>
      </c>
      <c r="D244" s="239">
        <v>6700</v>
      </c>
      <c r="E244" s="239">
        <v>7150</v>
      </c>
      <c r="F244" s="239">
        <v>31250</v>
      </c>
      <c r="G244" s="240">
        <v>16800</v>
      </c>
      <c r="H244" s="241"/>
      <c r="I244" s="245">
        <f t="shared" si="18"/>
        <v>-0.031847133757961776</v>
      </c>
      <c r="J244" s="246">
        <f t="shared" si="19"/>
        <v>-0.06944444444444442</v>
      </c>
      <c r="K244" s="246">
        <f t="shared" si="20"/>
        <v>-0.04026845637583898</v>
      </c>
      <c r="L244" s="246">
        <f t="shared" si="21"/>
        <v>-0.007936507936507908</v>
      </c>
      <c r="M244" s="247">
        <f t="shared" si="22"/>
        <v>-0.01754385964912286</v>
      </c>
    </row>
    <row r="245" spans="2:13" ht="12">
      <c r="B245" s="238">
        <v>37981</v>
      </c>
      <c r="C245" s="239">
        <v>7650</v>
      </c>
      <c r="D245" s="239">
        <v>6800</v>
      </c>
      <c r="E245" s="239">
        <v>7300</v>
      </c>
      <c r="F245" s="239">
        <v>31750</v>
      </c>
      <c r="G245" s="240">
        <v>16800</v>
      </c>
      <c r="H245" s="241"/>
      <c r="I245" s="245">
        <f t="shared" si="18"/>
        <v>0.006578947368421018</v>
      </c>
      <c r="J245" s="246">
        <f t="shared" si="19"/>
        <v>0.014925373134328401</v>
      </c>
      <c r="K245" s="246">
        <f t="shared" si="20"/>
        <v>0.020979020979021046</v>
      </c>
      <c r="L245" s="246">
        <f t="shared" si="21"/>
        <v>0.016000000000000014</v>
      </c>
      <c r="M245" s="247">
        <f t="shared" si="22"/>
        <v>0</v>
      </c>
    </row>
    <row r="246" spans="2:13" ht="12">
      <c r="B246" s="238">
        <v>37984</v>
      </c>
      <c r="C246" s="239">
        <v>7550</v>
      </c>
      <c r="D246" s="239">
        <v>6850</v>
      </c>
      <c r="E246" s="239">
        <v>7250</v>
      </c>
      <c r="F246" s="239">
        <v>32750</v>
      </c>
      <c r="G246" s="240">
        <v>16900</v>
      </c>
      <c r="H246" s="241"/>
      <c r="I246" s="245">
        <f t="shared" si="18"/>
        <v>-0.013071895424836555</v>
      </c>
      <c r="J246" s="246">
        <f t="shared" si="19"/>
        <v>0.007352941176470562</v>
      </c>
      <c r="K246" s="246">
        <f t="shared" si="20"/>
        <v>-0.006849315068493178</v>
      </c>
      <c r="L246" s="246">
        <f t="shared" si="21"/>
        <v>0.03149606299212593</v>
      </c>
      <c r="M246" s="247">
        <f t="shared" si="22"/>
        <v>0.005952380952380931</v>
      </c>
    </row>
    <row r="247" spans="2:13" ht="12">
      <c r="B247" s="238">
        <v>37985</v>
      </c>
      <c r="C247" s="239">
        <v>7750</v>
      </c>
      <c r="D247" s="239">
        <v>6950</v>
      </c>
      <c r="E247" s="239">
        <v>7300</v>
      </c>
      <c r="F247" s="239">
        <v>35500</v>
      </c>
      <c r="G247" s="240">
        <v>17000</v>
      </c>
      <c r="H247" s="241"/>
      <c r="I247" s="245">
        <f t="shared" si="18"/>
        <v>0.026490066225165476</v>
      </c>
      <c r="J247" s="246">
        <f t="shared" si="19"/>
        <v>0.014598540145985384</v>
      </c>
      <c r="K247" s="246">
        <f t="shared" si="20"/>
        <v>0.006896551724137945</v>
      </c>
      <c r="L247" s="246">
        <f t="shared" si="21"/>
        <v>0.08396946564885499</v>
      </c>
      <c r="M247" s="247">
        <f t="shared" si="22"/>
        <v>0.00591715976331364</v>
      </c>
    </row>
    <row r="248" spans="2:13" ht="12">
      <c r="B248" s="238">
        <v>37986</v>
      </c>
      <c r="C248" s="239">
        <v>7800</v>
      </c>
      <c r="D248" s="239">
        <v>7100</v>
      </c>
      <c r="E248" s="239">
        <v>7350</v>
      </c>
      <c r="F248" s="239">
        <v>36500</v>
      </c>
      <c r="G248" s="240">
        <v>17300</v>
      </c>
      <c r="H248" s="241"/>
      <c r="I248" s="245">
        <f t="shared" si="18"/>
        <v>0.006451612903225712</v>
      </c>
      <c r="J248" s="246">
        <f t="shared" si="19"/>
        <v>0.021582733812949728</v>
      </c>
      <c r="K248" s="246">
        <f t="shared" si="20"/>
        <v>0.006849315068493178</v>
      </c>
      <c r="L248" s="246">
        <f t="shared" si="21"/>
        <v>0.028169014084507005</v>
      </c>
      <c r="M248" s="247">
        <f t="shared" si="22"/>
        <v>0.01764705882352935</v>
      </c>
    </row>
    <row r="249" spans="2:13" ht="12">
      <c r="B249" s="238">
        <v>37988</v>
      </c>
      <c r="C249" s="239">
        <v>7950</v>
      </c>
      <c r="D249" s="239">
        <v>7200</v>
      </c>
      <c r="E249" s="239">
        <v>7600</v>
      </c>
      <c r="F249" s="239">
        <v>36500</v>
      </c>
      <c r="G249" s="240">
        <v>18400</v>
      </c>
      <c r="H249" s="241"/>
      <c r="I249" s="245">
        <f t="shared" si="18"/>
        <v>0.019230769230769162</v>
      </c>
      <c r="J249" s="246">
        <f t="shared" si="19"/>
        <v>0.014084507042253502</v>
      </c>
      <c r="K249" s="246">
        <f t="shared" si="20"/>
        <v>0.03401360544217691</v>
      </c>
      <c r="L249" s="246">
        <f t="shared" si="21"/>
        <v>0</v>
      </c>
      <c r="M249" s="247">
        <f t="shared" si="22"/>
        <v>0.06358381502890165</v>
      </c>
    </row>
    <row r="250" spans="2:13" ht="12">
      <c r="B250" s="238">
        <v>37991</v>
      </c>
      <c r="C250" s="239">
        <v>7950</v>
      </c>
      <c r="D250" s="239">
        <v>7600</v>
      </c>
      <c r="E250" s="239">
        <v>7950</v>
      </c>
      <c r="F250" s="239">
        <v>36000</v>
      </c>
      <c r="G250" s="240">
        <v>18800</v>
      </c>
      <c r="H250" s="241"/>
      <c r="I250" s="245">
        <f t="shared" si="18"/>
        <v>0</v>
      </c>
      <c r="J250" s="246">
        <f t="shared" si="19"/>
        <v>0.05555555555555558</v>
      </c>
      <c r="K250" s="246">
        <f t="shared" si="20"/>
        <v>0.046052631578947345</v>
      </c>
      <c r="L250" s="246">
        <f t="shared" si="21"/>
        <v>-0.013698630136986356</v>
      </c>
      <c r="M250" s="247">
        <f t="shared" si="22"/>
        <v>0.021739130434782705</v>
      </c>
    </row>
    <row r="251" spans="2:13" ht="12">
      <c r="B251" s="238">
        <v>37992</v>
      </c>
      <c r="C251" s="239">
        <v>7550</v>
      </c>
      <c r="D251" s="239">
        <v>7200</v>
      </c>
      <c r="E251" s="239">
        <v>7700</v>
      </c>
      <c r="F251" s="239">
        <v>35000</v>
      </c>
      <c r="G251" s="240">
        <v>18300</v>
      </c>
      <c r="H251" s="241"/>
      <c r="I251" s="245">
        <f t="shared" si="18"/>
        <v>-0.05031446540880502</v>
      </c>
      <c r="J251" s="246">
        <f t="shared" si="19"/>
        <v>-0.052631578947368474</v>
      </c>
      <c r="K251" s="246">
        <f t="shared" si="20"/>
        <v>-0.03144654088050314</v>
      </c>
      <c r="L251" s="246">
        <f t="shared" si="21"/>
        <v>-0.02777777777777779</v>
      </c>
      <c r="M251" s="247">
        <f t="shared" si="22"/>
        <v>-0.02659574468085102</v>
      </c>
    </row>
    <row r="252" spans="2:13" ht="12">
      <c r="B252" s="238">
        <v>37993</v>
      </c>
      <c r="C252" s="239">
        <v>7800</v>
      </c>
      <c r="D252" s="239">
        <v>7350</v>
      </c>
      <c r="E252" s="239">
        <v>7800</v>
      </c>
      <c r="F252" s="239">
        <v>36500</v>
      </c>
      <c r="G252" s="240">
        <v>18700</v>
      </c>
      <c r="H252" s="241"/>
      <c r="I252" s="245">
        <f t="shared" si="18"/>
        <v>0.0331125827814569</v>
      </c>
      <c r="J252" s="246">
        <f t="shared" si="19"/>
        <v>0.02083333333333326</v>
      </c>
      <c r="K252" s="246">
        <f t="shared" si="20"/>
        <v>0.01298701298701288</v>
      </c>
      <c r="L252" s="246">
        <f t="shared" si="21"/>
        <v>0.04285714285714293</v>
      </c>
      <c r="M252" s="247">
        <f t="shared" si="22"/>
        <v>0.021857923497267784</v>
      </c>
    </row>
    <row r="253" spans="2:13" ht="12">
      <c r="B253" s="238">
        <v>37994</v>
      </c>
      <c r="C253" s="239">
        <v>7900</v>
      </c>
      <c r="D253" s="239">
        <v>7300</v>
      </c>
      <c r="E253" s="239">
        <v>7900</v>
      </c>
      <c r="F253" s="239">
        <v>37250</v>
      </c>
      <c r="G253" s="240">
        <v>18800</v>
      </c>
      <c r="H253" s="241"/>
      <c r="I253" s="245">
        <f t="shared" si="18"/>
        <v>0.012820512820512775</v>
      </c>
      <c r="J253" s="246">
        <f t="shared" si="19"/>
        <v>-0.006802721088435382</v>
      </c>
      <c r="K253" s="246">
        <f t="shared" si="20"/>
        <v>0.012820512820512775</v>
      </c>
      <c r="L253" s="246">
        <f t="shared" si="21"/>
        <v>0.020547945205479534</v>
      </c>
      <c r="M253" s="247">
        <f t="shared" si="22"/>
        <v>0.005347593582887722</v>
      </c>
    </row>
    <row r="254" spans="2:13" ht="12">
      <c r="B254" s="238">
        <v>37995</v>
      </c>
      <c r="C254" s="239">
        <v>8000</v>
      </c>
      <c r="D254" s="239">
        <v>7400</v>
      </c>
      <c r="E254" s="239">
        <v>7900</v>
      </c>
      <c r="F254" s="239">
        <v>38750</v>
      </c>
      <c r="G254" s="240">
        <v>19400</v>
      </c>
      <c r="H254" s="241"/>
      <c r="I254" s="245">
        <f t="shared" si="18"/>
        <v>0.012658227848101333</v>
      </c>
      <c r="J254" s="246">
        <f t="shared" si="19"/>
        <v>0.013698630136986356</v>
      </c>
      <c r="K254" s="246">
        <f t="shared" si="20"/>
        <v>0</v>
      </c>
      <c r="L254" s="246">
        <f t="shared" si="21"/>
        <v>0.04026845637583887</v>
      </c>
      <c r="M254" s="247">
        <f t="shared" si="22"/>
        <v>0.03191489361702127</v>
      </c>
    </row>
    <row r="255" spans="2:13" ht="12">
      <c r="B255" s="238">
        <v>37998</v>
      </c>
      <c r="C255" s="239">
        <v>7750</v>
      </c>
      <c r="D255" s="239">
        <v>7450</v>
      </c>
      <c r="E255" s="239">
        <v>7750</v>
      </c>
      <c r="F255" s="239">
        <v>37500</v>
      </c>
      <c r="G255" s="240">
        <v>19200</v>
      </c>
      <c r="H255" s="241"/>
      <c r="I255" s="245">
        <f t="shared" si="18"/>
        <v>-0.03125</v>
      </c>
      <c r="J255" s="246">
        <f t="shared" si="19"/>
        <v>0.006756756756756799</v>
      </c>
      <c r="K255" s="246">
        <f t="shared" si="20"/>
        <v>-0.01898734177215189</v>
      </c>
      <c r="L255" s="246">
        <f t="shared" si="21"/>
        <v>-0.032258064516129004</v>
      </c>
      <c r="M255" s="247">
        <f t="shared" si="22"/>
        <v>-0.010309278350515427</v>
      </c>
    </row>
    <row r="256" spans="2:13" ht="12">
      <c r="B256" s="238">
        <v>37999</v>
      </c>
      <c r="C256" s="239">
        <v>7700</v>
      </c>
      <c r="D256" s="239">
        <v>7400</v>
      </c>
      <c r="E256" s="239">
        <v>7700</v>
      </c>
      <c r="F256" s="239">
        <v>37000</v>
      </c>
      <c r="G256" s="240">
        <v>18800</v>
      </c>
      <c r="H256" s="241"/>
      <c r="I256" s="245">
        <f t="shared" si="18"/>
        <v>-0.006451612903225823</v>
      </c>
      <c r="J256" s="246">
        <f t="shared" si="19"/>
        <v>-0.006711409395973145</v>
      </c>
      <c r="K256" s="246">
        <f t="shared" si="20"/>
        <v>-0.006451612903225823</v>
      </c>
      <c r="L256" s="246">
        <f t="shared" si="21"/>
        <v>-0.013333333333333308</v>
      </c>
      <c r="M256" s="247">
        <f t="shared" si="22"/>
        <v>-0.02083333333333337</v>
      </c>
    </row>
    <row r="257" spans="2:13" ht="12">
      <c r="B257" s="238">
        <v>38000</v>
      </c>
      <c r="C257" s="239">
        <v>7450</v>
      </c>
      <c r="D257" s="239">
        <v>7300</v>
      </c>
      <c r="E257" s="239">
        <v>7350</v>
      </c>
      <c r="F257" s="239">
        <v>35000</v>
      </c>
      <c r="G257" s="240">
        <v>18600</v>
      </c>
      <c r="H257" s="241"/>
      <c r="I257" s="245">
        <f t="shared" si="18"/>
        <v>-0.03246753246753242</v>
      </c>
      <c r="J257" s="246">
        <f t="shared" si="19"/>
        <v>-0.013513513513513487</v>
      </c>
      <c r="K257" s="246">
        <f t="shared" si="20"/>
        <v>-0.045454545454545414</v>
      </c>
      <c r="L257" s="246">
        <f t="shared" si="21"/>
        <v>-0.05405405405405406</v>
      </c>
      <c r="M257" s="247">
        <f t="shared" si="22"/>
        <v>-0.010638297872340385</v>
      </c>
    </row>
    <row r="258" spans="2:13" ht="12">
      <c r="B258" s="238">
        <v>38001</v>
      </c>
      <c r="C258" s="239">
        <v>7250</v>
      </c>
      <c r="D258" s="239">
        <v>7450</v>
      </c>
      <c r="E258" s="239">
        <v>7300</v>
      </c>
      <c r="F258" s="239">
        <v>36250</v>
      </c>
      <c r="G258" s="240">
        <v>19100</v>
      </c>
      <c r="H258" s="241"/>
      <c r="I258" s="245">
        <f t="shared" si="18"/>
        <v>-0.02684563758389258</v>
      </c>
      <c r="J258" s="246">
        <f t="shared" si="19"/>
        <v>0.020547945205479534</v>
      </c>
      <c r="K258" s="246">
        <f t="shared" si="20"/>
        <v>-0.006802721088435382</v>
      </c>
      <c r="L258" s="246">
        <f t="shared" si="21"/>
        <v>0.03571428571428581</v>
      </c>
      <c r="M258" s="247">
        <f t="shared" si="22"/>
        <v>0.026881720430107503</v>
      </c>
    </row>
    <row r="259" spans="2:13" ht="12">
      <c r="B259" s="238">
        <v>38002</v>
      </c>
      <c r="C259" s="239">
        <v>7100</v>
      </c>
      <c r="D259" s="239">
        <v>7150</v>
      </c>
      <c r="E259" s="239">
        <v>7100</v>
      </c>
      <c r="F259" s="239">
        <v>36000</v>
      </c>
      <c r="G259" s="240">
        <v>18600</v>
      </c>
      <c r="H259" s="241"/>
      <c r="I259" s="245">
        <f t="shared" si="18"/>
        <v>-0.020689655172413834</v>
      </c>
      <c r="J259" s="246">
        <f t="shared" si="19"/>
        <v>-0.04026845637583898</v>
      </c>
      <c r="K259" s="246">
        <f t="shared" si="20"/>
        <v>-0.0273972602739726</v>
      </c>
      <c r="L259" s="246">
        <f t="shared" si="21"/>
        <v>-0.006896551724137945</v>
      </c>
      <c r="M259" s="247">
        <f t="shared" si="22"/>
        <v>-0.02617801047120416</v>
      </c>
    </row>
    <row r="260" spans="2:13" ht="12">
      <c r="B260" s="238">
        <v>38005</v>
      </c>
      <c r="C260" s="239">
        <v>6950</v>
      </c>
      <c r="D260" s="239">
        <v>6850</v>
      </c>
      <c r="E260" s="239">
        <v>6900</v>
      </c>
      <c r="F260" s="239">
        <v>35750</v>
      </c>
      <c r="G260" s="240">
        <v>18300</v>
      </c>
      <c r="H260" s="241"/>
      <c r="I260" s="245">
        <f t="shared" si="18"/>
        <v>-0.021126760563380254</v>
      </c>
      <c r="J260" s="246">
        <f t="shared" si="19"/>
        <v>-0.04195804195804198</v>
      </c>
      <c r="K260" s="246">
        <f t="shared" si="20"/>
        <v>-0.028169014084507005</v>
      </c>
      <c r="L260" s="246">
        <f t="shared" si="21"/>
        <v>-0.00694444444444442</v>
      </c>
      <c r="M260" s="247">
        <f t="shared" si="22"/>
        <v>-0.016129032258064502</v>
      </c>
    </row>
    <row r="261" spans="2:13" ht="12">
      <c r="B261" s="238">
        <v>38006</v>
      </c>
      <c r="C261" s="239">
        <v>7250</v>
      </c>
      <c r="D261" s="239">
        <v>7150</v>
      </c>
      <c r="E261" s="239">
        <v>7400</v>
      </c>
      <c r="F261" s="239">
        <v>37500</v>
      </c>
      <c r="G261" s="240">
        <v>18600</v>
      </c>
      <c r="H261" s="241"/>
      <c r="I261" s="245">
        <f aca="true" t="shared" si="23" ref="I261:I298">C261/C260-1</f>
        <v>0.043165467625899234</v>
      </c>
      <c r="J261" s="246">
        <f t="shared" si="19"/>
        <v>0.04379562043795615</v>
      </c>
      <c r="K261" s="246">
        <f t="shared" si="20"/>
        <v>0.07246376811594213</v>
      </c>
      <c r="L261" s="246">
        <f t="shared" si="21"/>
        <v>0.04895104895104896</v>
      </c>
      <c r="M261" s="247">
        <f t="shared" si="22"/>
        <v>0.016393442622950838</v>
      </c>
    </row>
    <row r="262" spans="2:13" ht="12">
      <c r="B262" s="238">
        <v>38007</v>
      </c>
      <c r="C262" s="239">
        <v>7350</v>
      </c>
      <c r="D262" s="239">
        <v>7150</v>
      </c>
      <c r="E262" s="239">
        <v>7250</v>
      </c>
      <c r="F262" s="239">
        <v>37500</v>
      </c>
      <c r="G262" s="240">
        <v>18600</v>
      </c>
      <c r="H262" s="241"/>
      <c r="I262" s="245">
        <f t="shared" si="23"/>
        <v>0.01379310344827589</v>
      </c>
      <c r="J262" s="246">
        <f t="shared" si="19"/>
        <v>0</v>
      </c>
      <c r="K262" s="246">
        <f t="shared" si="20"/>
        <v>-0.020270270270270285</v>
      </c>
      <c r="L262" s="246">
        <f t="shared" si="21"/>
        <v>0</v>
      </c>
      <c r="M262" s="247">
        <f t="shared" si="22"/>
        <v>0</v>
      </c>
    </row>
    <row r="263" spans="2:13" ht="12">
      <c r="B263" s="238">
        <v>38008</v>
      </c>
      <c r="C263" s="239">
        <v>7200</v>
      </c>
      <c r="D263" s="239">
        <v>6950</v>
      </c>
      <c r="E263" s="239">
        <v>7000</v>
      </c>
      <c r="F263" s="239">
        <v>36750</v>
      </c>
      <c r="G263" s="240">
        <v>18400</v>
      </c>
      <c r="H263" s="241"/>
      <c r="I263" s="245">
        <f t="shared" si="23"/>
        <v>-0.020408163265306145</v>
      </c>
      <c r="J263" s="246">
        <f t="shared" si="19"/>
        <v>-0.027972027972028024</v>
      </c>
      <c r="K263" s="246">
        <f t="shared" si="20"/>
        <v>-0.03448275862068961</v>
      </c>
      <c r="L263" s="246">
        <f t="shared" si="21"/>
        <v>-0.020000000000000018</v>
      </c>
      <c r="M263" s="247">
        <f t="shared" si="22"/>
        <v>-0.010752688172043001</v>
      </c>
    </row>
    <row r="264" spans="2:13" ht="12">
      <c r="B264" s="238">
        <v>38012</v>
      </c>
      <c r="C264" s="239">
        <v>7150</v>
      </c>
      <c r="D264" s="239">
        <v>7000</v>
      </c>
      <c r="E264" s="239">
        <v>6950</v>
      </c>
      <c r="F264" s="239">
        <v>36000</v>
      </c>
      <c r="G264" s="240">
        <v>18700</v>
      </c>
      <c r="H264" s="241"/>
      <c r="I264" s="245">
        <f t="shared" si="23"/>
        <v>-0.00694444444444442</v>
      </c>
      <c r="J264" s="246">
        <f t="shared" si="19"/>
        <v>0.007194244604316502</v>
      </c>
      <c r="K264" s="246">
        <f t="shared" si="20"/>
        <v>-0.0071428571428571175</v>
      </c>
      <c r="L264" s="246">
        <f t="shared" si="21"/>
        <v>-0.020408163265306145</v>
      </c>
      <c r="M264" s="247">
        <f t="shared" si="22"/>
        <v>0.016304347826086918</v>
      </c>
    </row>
    <row r="265" spans="2:13" ht="12">
      <c r="B265" s="238">
        <v>38013</v>
      </c>
      <c r="C265" s="239">
        <v>6950</v>
      </c>
      <c r="D265" s="239">
        <v>6850</v>
      </c>
      <c r="E265" s="239">
        <v>6900</v>
      </c>
      <c r="F265" s="239">
        <v>35500</v>
      </c>
      <c r="G265" s="240">
        <v>18200</v>
      </c>
      <c r="H265" s="241"/>
      <c r="I265" s="245">
        <f t="shared" si="23"/>
        <v>-0.027972027972028024</v>
      </c>
      <c r="J265" s="246">
        <f t="shared" si="19"/>
        <v>-0.021428571428571463</v>
      </c>
      <c r="K265" s="246">
        <f t="shared" si="20"/>
        <v>-0.007194244604316502</v>
      </c>
      <c r="L265" s="246">
        <f t="shared" si="21"/>
        <v>-0.01388888888888884</v>
      </c>
      <c r="M265" s="247">
        <f t="shared" si="22"/>
        <v>-0.0267379679144385</v>
      </c>
    </row>
    <row r="266" spans="2:13" ht="12">
      <c r="B266" s="238">
        <v>38014</v>
      </c>
      <c r="C266" s="239">
        <v>6900</v>
      </c>
      <c r="D266" s="239">
        <v>6800</v>
      </c>
      <c r="E266" s="239">
        <v>6900</v>
      </c>
      <c r="F266" s="239">
        <v>33750</v>
      </c>
      <c r="G266" s="240">
        <v>18300</v>
      </c>
      <c r="H266" s="241"/>
      <c r="I266" s="245">
        <f t="shared" si="23"/>
        <v>-0.007194244604316502</v>
      </c>
      <c r="J266" s="246">
        <f t="shared" si="19"/>
        <v>-0.007299270072992692</v>
      </c>
      <c r="K266" s="246">
        <f t="shared" si="20"/>
        <v>0</v>
      </c>
      <c r="L266" s="246">
        <f t="shared" si="21"/>
        <v>-0.04929577464788737</v>
      </c>
      <c r="M266" s="247">
        <f t="shared" si="22"/>
        <v>0.005494505494505475</v>
      </c>
    </row>
    <row r="267" spans="2:13" ht="12">
      <c r="B267" s="238">
        <v>38015</v>
      </c>
      <c r="C267" s="239">
        <v>6650</v>
      </c>
      <c r="D267" s="239">
        <v>6600</v>
      </c>
      <c r="E267" s="239">
        <v>6600</v>
      </c>
      <c r="F267" s="239">
        <v>33000</v>
      </c>
      <c r="G267" s="240">
        <v>17900</v>
      </c>
      <c r="H267" s="241"/>
      <c r="I267" s="245">
        <f t="shared" si="23"/>
        <v>-0.036231884057971064</v>
      </c>
      <c r="J267" s="246">
        <f t="shared" si="19"/>
        <v>-0.02941176470588236</v>
      </c>
      <c r="K267" s="246">
        <f t="shared" si="20"/>
        <v>-0.04347826086956519</v>
      </c>
      <c r="L267" s="246">
        <f t="shared" si="21"/>
        <v>-0.022222222222222254</v>
      </c>
      <c r="M267" s="247">
        <f t="shared" si="22"/>
        <v>-0.021857923497267784</v>
      </c>
    </row>
    <row r="268" spans="2:13" ht="12">
      <c r="B268" s="238">
        <v>38016</v>
      </c>
      <c r="C268" s="239">
        <v>6550</v>
      </c>
      <c r="D268" s="239">
        <v>6550</v>
      </c>
      <c r="E268" s="239">
        <v>6500</v>
      </c>
      <c r="F268" s="239">
        <v>32250</v>
      </c>
      <c r="G268" s="240">
        <v>17800</v>
      </c>
      <c r="H268" s="241"/>
      <c r="I268" s="245">
        <f t="shared" si="23"/>
        <v>-0.015037593984962405</v>
      </c>
      <c r="J268" s="246">
        <f t="shared" si="19"/>
        <v>-0.007575757575757569</v>
      </c>
      <c r="K268" s="246">
        <f t="shared" si="20"/>
        <v>-0.015151515151515138</v>
      </c>
      <c r="L268" s="246">
        <f t="shared" si="21"/>
        <v>-0.022727272727272707</v>
      </c>
      <c r="M268" s="247">
        <f t="shared" si="22"/>
        <v>-0.005586592178770999</v>
      </c>
    </row>
    <row r="269" spans="2:13" ht="12">
      <c r="B269" s="238">
        <v>38022</v>
      </c>
      <c r="C269" s="239">
        <v>6400</v>
      </c>
      <c r="D269" s="239">
        <v>6450</v>
      </c>
      <c r="E269" s="239">
        <v>6350</v>
      </c>
      <c r="F269" s="239">
        <v>31500</v>
      </c>
      <c r="G269" s="240">
        <v>17600</v>
      </c>
      <c r="H269" s="241"/>
      <c r="I269" s="245">
        <f t="shared" si="23"/>
        <v>-0.022900763358778664</v>
      </c>
      <c r="J269" s="246">
        <f t="shared" si="19"/>
        <v>-0.01526717557251911</v>
      </c>
      <c r="K269" s="246">
        <f t="shared" si="20"/>
        <v>-0.023076923076923106</v>
      </c>
      <c r="L269" s="246">
        <f t="shared" si="21"/>
        <v>-0.023255813953488413</v>
      </c>
      <c r="M269" s="247">
        <f t="shared" si="22"/>
        <v>-0.011235955056179803</v>
      </c>
    </row>
    <row r="270" spans="2:13" ht="12">
      <c r="B270" s="238">
        <v>38023</v>
      </c>
      <c r="C270" s="239">
        <v>6300</v>
      </c>
      <c r="D270" s="239">
        <v>6400</v>
      </c>
      <c r="E270" s="239">
        <v>6250</v>
      </c>
      <c r="F270" s="239">
        <v>31000</v>
      </c>
      <c r="G270" s="240">
        <v>17500</v>
      </c>
      <c r="H270" s="241"/>
      <c r="I270" s="245">
        <f t="shared" si="23"/>
        <v>-0.015625</v>
      </c>
      <c r="J270" s="246">
        <f t="shared" si="19"/>
        <v>-0.007751937984496138</v>
      </c>
      <c r="K270" s="246">
        <f t="shared" si="20"/>
        <v>-0.015748031496062964</v>
      </c>
      <c r="L270" s="246">
        <f t="shared" si="21"/>
        <v>-0.015873015873015928</v>
      </c>
      <c r="M270" s="247">
        <f t="shared" si="22"/>
        <v>-0.005681818181818232</v>
      </c>
    </row>
    <row r="271" spans="2:13" ht="12">
      <c r="B271" s="238">
        <v>38026</v>
      </c>
      <c r="C271" s="239">
        <v>6650</v>
      </c>
      <c r="D271" s="239">
        <v>6700</v>
      </c>
      <c r="E271" s="239">
        <v>6700</v>
      </c>
      <c r="F271" s="239">
        <v>33000</v>
      </c>
      <c r="G271" s="240">
        <v>17600</v>
      </c>
      <c r="H271" s="241"/>
      <c r="I271" s="245">
        <f t="shared" si="23"/>
        <v>0.05555555555555558</v>
      </c>
      <c r="J271" s="246">
        <f t="shared" si="19"/>
        <v>0.046875</v>
      </c>
      <c r="K271" s="246">
        <f t="shared" si="20"/>
        <v>0.07200000000000006</v>
      </c>
      <c r="L271" s="246">
        <f t="shared" si="21"/>
        <v>0.06451612903225801</v>
      </c>
      <c r="M271" s="247">
        <f t="shared" si="22"/>
        <v>0.005714285714285783</v>
      </c>
    </row>
    <row r="272" spans="2:13" ht="12">
      <c r="B272" s="238">
        <v>38027</v>
      </c>
      <c r="C272" s="239">
        <v>6500</v>
      </c>
      <c r="D272" s="239">
        <v>6550</v>
      </c>
      <c r="E272" s="239">
        <v>6650</v>
      </c>
      <c r="F272" s="239">
        <v>32750</v>
      </c>
      <c r="G272" s="240">
        <v>17100</v>
      </c>
      <c r="H272" s="241"/>
      <c r="I272" s="245">
        <f t="shared" si="23"/>
        <v>-0.022556390977443663</v>
      </c>
      <c r="J272" s="246">
        <f t="shared" si="19"/>
        <v>-0.02238805970149249</v>
      </c>
      <c r="K272" s="246">
        <f t="shared" si="20"/>
        <v>-0.007462686567164201</v>
      </c>
      <c r="L272" s="246">
        <f t="shared" si="21"/>
        <v>-0.007575757575757569</v>
      </c>
      <c r="M272" s="247">
        <f t="shared" si="22"/>
        <v>-0.02840909090909094</v>
      </c>
    </row>
    <row r="273" spans="2:13" ht="12">
      <c r="B273" s="238">
        <v>38028</v>
      </c>
      <c r="C273" s="239">
        <v>6950</v>
      </c>
      <c r="D273" s="239">
        <v>6700</v>
      </c>
      <c r="E273" s="239">
        <v>7050</v>
      </c>
      <c r="F273" s="239">
        <v>33250</v>
      </c>
      <c r="G273" s="240">
        <v>18300</v>
      </c>
      <c r="H273" s="241"/>
      <c r="I273" s="245">
        <f t="shared" si="23"/>
        <v>0.0692307692307692</v>
      </c>
      <c r="J273" s="246">
        <f t="shared" si="19"/>
        <v>0.022900763358778553</v>
      </c>
      <c r="K273" s="246">
        <f t="shared" si="20"/>
        <v>0.06015037593984962</v>
      </c>
      <c r="L273" s="246">
        <f t="shared" si="21"/>
        <v>0.01526717557251911</v>
      </c>
      <c r="M273" s="247">
        <f t="shared" si="22"/>
        <v>0.07017543859649122</v>
      </c>
    </row>
    <row r="274" spans="2:13" ht="12">
      <c r="B274" s="238">
        <v>38029</v>
      </c>
      <c r="C274" s="239">
        <v>7650</v>
      </c>
      <c r="D274" s="239">
        <v>6900</v>
      </c>
      <c r="E274" s="239">
        <v>7500</v>
      </c>
      <c r="F274" s="239">
        <v>34250</v>
      </c>
      <c r="G274" s="240">
        <v>18000</v>
      </c>
      <c r="H274" s="241"/>
      <c r="I274" s="245">
        <f t="shared" si="23"/>
        <v>0.1007194244604317</v>
      </c>
      <c r="J274" s="246">
        <f t="shared" si="19"/>
        <v>0.029850746268656803</v>
      </c>
      <c r="K274" s="246">
        <f t="shared" si="20"/>
        <v>0.06382978723404253</v>
      </c>
      <c r="L274" s="246">
        <f t="shared" si="21"/>
        <v>0.03007518796992481</v>
      </c>
      <c r="M274" s="247">
        <f t="shared" si="22"/>
        <v>-0.016393442622950838</v>
      </c>
    </row>
    <row r="275" spans="2:13" ht="12">
      <c r="B275" s="238">
        <v>38030</v>
      </c>
      <c r="C275" s="239">
        <v>7950</v>
      </c>
      <c r="D275" s="239">
        <v>7050</v>
      </c>
      <c r="E275" s="239">
        <v>7450</v>
      </c>
      <c r="F275" s="239">
        <v>34500</v>
      </c>
      <c r="G275" s="240">
        <v>17800</v>
      </c>
      <c r="H275" s="241"/>
      <c r="I275" s="245">
        <f t="shared" si="23"/>
        <v>0.03921568627450989</v>
      </c>
      <c r="J275" s="246">
        <f t="shared" si="19"/>
        <v>0.021739130434782705</v>
      </c>
      <c r="K275" s="246">
        <f t="shared" si="20"/>
        <v>-0.00666666666666671</v>
      </c>
      <c r="L275" s="246">
        <f t="shared" si="21"/>
        <v>0.007299270072992803</v>
      </c>
      <c r="M275" s="247">
        <f t="shared" si="22"/>
        <v>-0.011111111111111072</v>
      </c>
    </row>
    <row r="276" spans="2:13" ht="12">
      <c r="B276" s="238">
        <v>38033</v>
      </c>
      <c r="C276" s="239">
        <v>7900</v>
      </c>
      <c r="D276" s="239">
        <v>6900</v>
      </c>
      <c r="E276" s="239">
        <v>7500</v>
      </c>
      <c r="F276" s="239">
        <v>36000</v>
      </c>
      <c r="G276" s="240">
        <v>18400</v>
      </c>
      <c r="H276" s="241"/>
      <c r="I276" s="245">
        <f t="shared" si="23"/>
        <v>-0.0062893081761006275</v>
      </c>
      <c r="J276" s="246">
        <f aca="true" t="shared" si="24" ref="J276:J298">D276/D275-1</f>
        <v>-0.021276595744680882</v>
      </c>
      <c r="K276" s="246">
        <f aca="true" t="shared" si="25" ref="K276:K298">E276/E275-1</f>
        <v>0.006711409395973256</v>
      </c>
      <c r="L276" s="246">
        <f aca="true" t="shared" si="26" ref="L276:L298">F276/F275-1</f>
        <v>0.04347826086956519</v>
      </c>
      <c r="M276" s="247">
        <f aca="true" t="shared" si="27" ref="M276:M298">G276/G275-1</f>
        <v>0.03370786516853941</v>
      </c>
    </row>
    <row r="277" spans="2:13" ht="12">
      <c r="B277" s="238">
        <v>38034</v>
      </c>
      <c r="C277" s="239">
        <v>7700</v>
      </c>
      <c r="D277" s="239">
        <v>6850</v>
      </c>
      <c r="E277" s="239">
        <v>7150</v>
      </c>
      <c r="F277" s="239">
        <v>36000</v>
      </c>
      <c r="G277" s="240">
        <v>18100</v>
      </c>
      <c r="H277" s="241"/>
      <c r="I277" s="245">
        <f t="shared" si="23"/>
        <v>-0.025316455696202556</v>
      </c>
      <c r="J277" s="246">
        <f t="shared" si="24"/>
        <v>-0.007246376811594235</v>
      </c>
      <c r="K277" s="246">
        <f t="shared" si="25"/>
        <v>-0.046666666666666634</v>
      </c>
      <c r="L277" s="246">
        <f t="shared" si="26"/>
        <v>0</v>
      </c>
      <c r="M277" s="247">
        <f t="shared" si="27"/>
        <v>-0.016304347826086918</v>
      </c>
    </row>
    <row r="278" spans="2:13" ht="12">
      <c r="B278" s="238">
        <v>38035</v>
      </c>
      <c r="C278" s="239">
        <v>7750</v>
      </c>
      <c r="D278" s="239">
        <v>7050</v>
      </c>
      <c r="E278" s="239">
        <v>7350</v>
      </c>
      <c r="F278" s="239">
        <v>36250</v>
      </c>
      <c r="G278" s="240">
        <v>18700</v>
      </c>
      <c r="H278" s="241"/>
      <c r="I278" s="245">
        <f t="shared" si="23"/>
        <v>0.006493506493506551</v>
      </c>
      <c r="J278" s="246">
        <f t="shared" si="24"/>
        <v>0.029197080291970767</v>
      </c>
      <c r="K278" s="246">
        <f t="shared" si="25"/>
        <v>0.027972027972027913</v>
      </c>
      <c r="L278" s="246">
        <f t="shared" si="26"/>
        <v>0.00694444444444442</v>
      </c>
      <c r="M278" s="247">
        <f t="shared" si="27"/>
        <v>0.03314917127071815</v>
      </c>
    </row>
    <row r="279" spans="2:13" ht="12">
      <c r="B279" s="238">
        <v>38036</v>
      </c>
      <c r="C279" s="239">
        <v>7350</v>
      </c>
      <c r="D279" s="239">
        <v>6900</v>
      </c>
      <c r="E279" s="239">
        <v>6900</v>
      </c>
      <c r="F279" s="239">
        <v>34250</v>
      </c>
      <c r="G279" s="240">
        <v>18700</v>
      </c>
      <c r="H279" s="241"/>
      <c r="I279" s="245">
        <f t="shared" si="23"/>
        <v>-0.05161290322580647</v>
      </c>
      <c r="J279" s="246">
        <f t="shared" si="24"/>
        <v>-0.021276595744680882</v>
      </c>
      <c r="K279" s="246">
        <f t="shared" si="25"/>
        <v>-0.061224489795918324</v>
      </c>
      <c r="L279" s="246">
        <f t="shared" si="26"/>
        <v>-0.05517241379310345</v>
      </c>
      <c r="M279" s="247">
        <f t="shared" si="27"/>
        <v>0</v>
      </c>
    </row>
    <row r="280" spans="2:13" ht="12">
      <c r="B280" s="238">
        <v>38037</v>
      </c>
      <c r="C280" s="239">
        <v>7400</v>
      </c>
      <c r="D280" s="239">
        <v>6950</v>
      </c>
      <c r="E280" s="239">
        <v>6950</v>
      </c>
      <c r="F280" s="239">
        <v>33750</v>
      </c>
      <c r="G280" s="240">
        <v>18500</v>
      </c>
      <c r="H280" s="241"/>
      <c r="I280" s="245">
        <f t="shared" si="23"/>
        <v>0.006802721088435382</v>
      </c>
      <c r="J280" s="246">
        <f t="shared" si="24"/>
        <v>0.007246376811594235</v>
      </c>
      <c r="K280" s="246">
        <f t="shared" si="25"/>
        <v>0.007246376811594235</v>
      </c>
      <c r="L280" s="246">
        <f t="shared" si="26"/>
        <v>-0.014598540145985384</v>
      </c>
      <c r="M280" s="247">
        <f t="shared" si="27"/>
        <v>-0.010695187165775444</v>
      </c>
    </row>
    <row r="281" spans="2:13" ht="12">
      <c r="B281" s="238">
        <v>38040</v>
      </c>
      <c r="C281" s="239">
        <v>7400</v>
      </c>
      <c r="D281" s="239">
        <v>7100</v>
      </c>
      <c r="E281" s="239">
        <v>6800</v>
      </c>
      <c r="F281" s="239">
        <v>33000</v>
      </c>
      <c r="G281" s="240">
        <v>18700</v>
      </c>
      <c r="H281" s="241"/>
      <c r="I281" s="245">
        <f t="shared" si="23"/>
        <v>0</v>
      </c>
      <c r="J281" s="246">
        <f t="shared" si="24"/>
        <v>0.021582733812949728</v>
      </c>
      <c r="K281" s="246">
        <f t="shared" si="25"/>
        <v>-0.021582733812949617</v>
      </c>
      <c r="L281" s="246">
        <f t="shared" si="26"/>
        <v>-0.022222222222222254</v>
      </c>
      <c r="M281" s="247">
        <f t="shared" si="27"/>
        <v>0.0108108108108107</v>
      </c>
    </row>
    <row r="282" spans="2:13" ht="12">
      <c r="B282" s="238">
        <v>38041</v>
      </c>
      <c r="C282" s="239">
        <v>7550</v>
      </c>
      <c r="D282" s="239">
        <v>7150</v>
      </c>
      <c r="E282" s="239">
        <v>6900</v>
      </c>
      <c r="F282" s="239">
        <v>33000</v>
      </c>
      <c r="G282" s="240">
        <v>18700</v>
      </c>
      <c r="H282" s="241"/>
      <c r="I282" s="245">
        <f t="shared" si="23"/>
        <v>0.020270270270270174</v>
      </c>
      <c r="J282" s="246">
        <f t="shared" si="24"/>
        <v>0.007042253521126751</v>
      </c>
      <c r="K282" s="246">
        <f t="shared" si="25"/>
        <v>0.014705882352941124</v>
      </c>
      <c r="L282" s="246">
        <f t="shared" si="26"/>
        <v>0</v>
      </c>
      <c r="M282" s="247">
        <f t="shared" si="27"/>
        <v>0</v>
      </c>
    </row>
    <row r="283" spans="2:13" ht="12">
      <c r="B283" s="238">
        <v>38042</v>
      </c>
      <c r="C283" s="239">
        <v>7650</v>
      </c>
      <c r="D283" s="239">
        <v>7000</v>
      </c>
      <c r="E283" s="239">
        <v>6900</v>
      </c>
      <c r="F283" s="239">
        <v>33500</v>
      </c>
      <c r="G283" s="240">
        <v>18700</v>
      </c>
      <c r="H283" s="241"/>
      <c r="I283" s="245">
        <f t="shared" si="23"/>
        <v>0.013245033112582849</v>
      </c>
      <c r="J283" s="246">
        <f t="shared" si="24"/>
        <v>-0.020979020979020935</v>
      </c>
      <c r="K283" s="246">
        <f t="shared" si="25"/>
        <v>0</v>
      </c>
      <c r="L283" s="246">
        <f t="shared" si="26"/>
        <v>0.015151515151515138</v>
      </c>
      <c r="M283" s="247">
        <f t="shared" si="27"/>
        <v>0</v>
      </c>
    </row>
    <row r="284" spans="2:13" ht="12">
      <c r="B284" s="238">
        <v>38043</v>
      </c>
      <c r="C284" s="239">
        <v>7600</v>
      </c>
      <c r="D284" s="239">
        <v>6950</v>
      </c>
      <c r="E284" s="239">
        <v>6950</v>
      </c>
      <c r="F284" s="239">
        <v>34000</v>
      </c>
      <c r="G284" s="240">
        <v>18600</v>
      </c>
      <c r="H284" s="241"/>
      <c r="I284" s="245">
        <f t="shared" si="23"/>
        <v>-0.006535947712418277</v>
      </c>
      <c r="J284" s="246">
        <f t="shared" si="24"/>
        <v>-0.0071428571428571175</v>
      </c>
      <c r="K284" s="246">
        <f t="shared" si="25"/>
        <v>0.007246376811594235</v>
      </c>
      <c r="L284" s="246">
        <f t="shared" si="26"/>
        <v>0.014925373134328401</v>
      </c>
      <c r="M284" s="247">
        <f t="shared" si="27"/>
        <v>-0.005347593582887722</v>
      </c>
    </row>
    <row r="285" spans="2:13" ht="12">
      <c r="B285" s="238">
        <v>38044</v>
      </c>
      <c r="C285" s="239">
        <v>7600</v>
      </c>
      <c r="D285" s="239">
        <v>6900</v>
      </c>
      <c r="E285" s="239">
        <v>6950</v>
      </c>
      <c r="F285" s="239">
        <v>33750</v>
      </c>
      <c r="G285" s="240">
        <v>18800</v>
      </c>
      <c r="H285" s="241"/>
      <c r="I285" s="245">
        <f t="shared" si="23"/>
        <v>0</v>
      </c>
      <c r="J285" s="246">
        <f t="shared" si="24"/>
        <v>-0.007194244604316502</v>
      </c>
      <c r="K285" s="246">
        <f t="shared" si="25"/>
        <v>0</v>
      </c>
      <c r="L285" s="246">
        <f t="shared" si="26"/>
        <v>-0.007352941176470562</v>
      </c>
      <c r="M285" s="247">
        <f t="shared" si="27"/>
        <v>0.010752688172043001</v>
      </c>
    </row>
    <row r="286" spans="2:13" ht="12">
      <c r="B286" s="238">
        <v>38047</v>
      </c>
      <c r="C286" s="239">
        <v>7450</v>
      </c>
      <c r="D286" s="239">
        <v>6850</v>
      </c>
      <c r="E286" s="239">
        <v>6950</v>
      </c>
      <c r="F286" s="239">
        <v>34000</v>
      </c>
      <c r="G286" s="240">
        <v>18500</v>
      </c>
      <c r="H286" s="241"/>
      <c r="I286" s="245">
        <f t="shared" si="23"/>
        <v>-0.019736842105263164</v>
      </c>
      <c r="J286" s="246">
        <f t="shared" si="24"/>
        <v>-0.007246376811594235</v>
      </c>
      <c r="K286" s="246">
        <f t="shared" si="25"/>
        <v>0</v>
      </c>
      <c r="L286" s="246">
        <f t="shared" si="26"/>
        <v>0.007407407407407307</v>
      </c>
      <c r="M286" s="247">
        <f t="shared" si="27"/>
        <v>-0.015957446808510634</v>
      </c>
    </row>
    <row r="287" spans="2:13" ht="12">
      <c r="B287" s="238">
        <v>38048</v>
      </c>
      <c r="C287" s="239">
        <v>7750</v>
      </c>
      <c r="D287" s="239">
        <v>6900</v>
      </c>
      <c r="E287" s="239">
        <v>7250</v>
      </c>
      <c r="F287" s="239">
        <v>34750</v>
      </c>
      <c r="G287" s="240">
        <v>18600</v>
      </c>
      <c r="H287" s="241"/>
      <c r="I287" s="245">
        <f t="shared" si="23"/>
        <v>0.04026845637583887</v>
      </c>
      <c r="J287" s="246">
        <f t="shared" si="24"/>
        <v>0.007299270072992803</v>
      </c>
      <c r="K287" s="246">
        <f t="shared" si="25"/>
        <v>0.043165467625899234</v>
      </c>
      <c r="L287" s="246">
        <f t="shared" si="26"/>
        <v>0.022058823529411686</v>
      </c>
      <c r="M287" s="247">
        <f t="shared" si="27"/>
        <v>0.00540540540540535</v>
      </c>
    </row>
    <row r="288" spans="2:13" ht="12">
      <c r="B288" s="238">
        <v>38049</v>
      </c>
      <c r="C288" s="239">
        <v>7800</v>
      </c>
      <c r="D288" s="239">
        <v>6900</v>
      </c>
      <c r="E288" s="239">
        <v>7100</v>
      </c>
      <c r="F288" s="239">
        <v>34000</v>
      </c>
      <c r="G288" s="240">
        <v>18800</v>
      </c>
      <c r="H288" s="241"/>
      <c r="I288" s="245">
        <f t="shared" si="23"/>
        <v>0.006451612903225712</v>
      </c>
      <c r="J288" s="246">
        <f t="shared" si="24"/>
        <v>0</v>
      </c>
      <c r="K288" s="246">
        <f t="shared" si="25"/>
        <v>-0.020689655172413834</v>
      </c>
      <c r="L288" s="246">
        <f t="shared" si="26"/>
        <v>-0.021582733812949617</v>
      </c>
      <c r="M288" s="247">
        <f t="shared" si="27"/>
        <v>0.010752688172043001</v>
      </c>
    </row>
    <row r="289" spans="2:13" ht="12">
      <c r="B289" s="238">
        <v>38050</v>
      </c>
      <c r="C289" s="239">
        <v>7550</v>
      </c>
      <c r="D289" s="239">
        <v>6900</v>
      </c>
      <c r="E289" s="239">
        <v>7100</v>
      </c>
      <c r="F289" s="239">
        <v>33500</v>
      </c>
      <c r="G289" s="240">
        <v>18500</v>
      </c>
      <c r="H289" s="241"/>
      <c r="I289" s="245">
        <f t="shared" si="23"/>
        <v>-0.03205128205128205</v>
      </c>
      <c r="J289" s="246">
        <f t="shared" si="24"/>
        <v>0</v>
      </c>
      <c r="K289" s="246">
        <f t="shared" si="25"/>
        <v>0</v>
      </c>
      <c r="L289" s="246">
        <f t="shared" si="26"/>
        <v>-0.014705882352941124</v>
      </c>
      <c r="M289" s="247">
        <f t="shared" si="27"/>
        <v>-0.015957446808510634</v>
      </c>
    </row>
    <row r="290" spans="2:13" ht="12">
      <c r="B290" s="238">
        <v>38051</v>
      </c>
      <c r="C290" s="239">
        <v>7550</v>
      </c>
      <c r="D290" s="239">
        <v>7050</v>
      </c>
      <c r="E290" s="239">
        <v>7200</v>
      </c>
      <c r="F290" s="239">
        <v>33750</v>
      </c>
      <c r="G290" s="240">
        <v>18500</v>
      </c>
      <c r="H290" s="241"/>
      <c r="I290" s="245">
        <f t="shared" si="23"/>
        <v>0</v>
      </c>
      <c r="J290" s="246">
        <f t="shared" si="24"/>
        <v>0.021739130434782705</v>
      </c>
      <c r="K290" s="246">
        <f t="shared" si="25"/>
        <v>0.014084507042253502</v>
      </c>
      <c r="L290" s="246">
        <f t="shared" si="26"/>
        <v>0.00746268656716409</v>
      </c>
      <c r="M290" s="247">
        <f t="shared" si="27"/>
        <v>0</v>
      </c>
    </row>
    <row r="291" spans="2:13" ht="12">
      <c r="B291" s="238">
        <v>38054</v>
      </c>
      <c r="C291" s="239">
        <v>7750</v>
      </c>
      <c r="D291" s="239">
        <v>7200</v>
      </c>
      <c r="E291" s="239">
        <v>7200</v>
      </c>
      <c r="F291" s="239">
        <v>34000</v>
      </c>
      <c r="G291" s="240">
        <v>18500</v>
      </c>
      <c r="H291" s="241"/>
      <c r="I291" s="245">
        <f t="shared" si="23"/>
        <v>0.026490066225165476</v>
      </c>
      <c r="J291" s="246">
        <f t="shared" si="24"/>
        <v>0.02127659574468077</v>
      </c>
      <c r="K291" s="246">
        <f t="shared" si="25"/>
        <v>0</v>
      </c>
      <c r="L291" s="246">
        <f t="shared" si="26"/>
        <v>0.007407407407407307</v>
      </c>
      <c r="M291" s="247">
        <f t="shared" si="27"/>
        <v>0</v>
      </c>
    </row>
    <row r="292" spans="2:13" ht="12">
      <c r="B292" s="238">
        <v>38055</v>
      </c>
      <c r="C292" s="239">
        <v>7800</v>
      </c>
      <c r="D292" s="239">
        <v>7100</v>
      </c>
      <c r="E292" s="239">
        <v>7200</v>
      </c>
      <c r="F292" s="239">
        <v>34000</v>
      </c>
      <c r="G292" s="240">
        <v>18800</v>
      </c>
      <c r="H292" s="241"/>
      <c r="I292" s="245">
        <f t="shared" si="23"/>
        <v>0.006451612903225712</v>
      </c>
      <c r="J292" s="246">
        <f t="shared" si="24"/>
        <v>-0.01388888888888884</v>
      </c>
      <c r="K292" s="246">
        <f t="shared" si="25"/>
        <v>0</v>
      </c>
      <c r="L292" s="246">
        <f t="shared" si="26"/>
        <v>0</v>
      </c>
      <c r="M292" s="247">
        <f t="shared" si="27"/>
        <v>0.016216216216216273</v>
      </c>
    </row>
    <row r="293" spans="2:13" ht="12">
      <c r="B293" s="238">
        <v>38056</v>
      </c>
      <c r="C293" s="239">
        <v>7800</v>
      </c>
      <c r="D293" s="239">
        <v>7150</v>
      </c>
      <c r="E293" s="239">
        <v>7250</v>
      </c>
      <c r="F293" s="239">
        <v>33750</v>
      </c>
      <c r="G293" s="240">
        <v>18700</v>
      </c>
      <c r="H293" s="241"/>
      <c r="I293" s="245">
        <f t="shared" si="23"/>
        <v>0</v>
      </c>
      <c r="J293" s="246">
        <f t="shared" si="24"/>
        <v>0.007042253521126751</v>
      </c>
      <c r="K293" s="246">
        <f t="shared" si="25"/>
        <v>0.00694444444444442</v>
      </c>
      <c r="L293" s="246">
        <f t="shared" si="26"/>
        <v>-0.007352941176470562</v>
      </c>
      <c r="M293" s="247">
        <f t="shared" si="27"/>
        <v>-0.005319148936170248</v>
      </c>
    </row>
    <row r="294" spans="2:13" ht="12">
      <c r="B294" s="238">
        <v>38057</v>
      </c>
      <c r="C294" s="239">
        <v>7750</v>
      </c>
      <c r="D294" s="239">
        <v>6900</v>
      </c>
      <c r="E294" s="239">
        <v>7050</v>
      </c>
      <c r="F294" s="239">
        <v>33500</v>
      </c>
      <c r="G294" s="240">
        <v>18400</v>
      </c>
      <c r="H294" s="241"/>
      <c r="I294" s="245">
        <f t="shared" si="23"/>
        <v>-0.0064102564102563875</v>
      </c>
      <c r="J294" s="246">
        <f t="shared" si="24"/>
        <v>-0.034965034965035</v>
      </c>
      <c r="K294" s="246">
        <f t="shared" si="25"/>
        <v>-0.02758620689655178</v>
      </c>
      <c r="L294" s="246">
        <f t="shared" si="26"/>
        <v>-0.007407407407407418</v>
      </c>
      <c r="M294" s="247">
        <f t="shared" si="27"/>
        <v>-0.016042780748663055</v>
      </c>
    </row>
    <row r="295" spans="2:13" ht="12">
      <c r="B295" s="238">
        <v>38058</v>
      </c>
      <c r="C295" s="239">
        <v>7800</v>
      </c>
      <c r="D295" s="239">
        <v>6850</v>
      </c>
      <c r="E295" s="239">
        <v>7000</v>
      </c>
      <c r="F295" s="239">
        <v>32750</v>
      </c>
      <c r="G295" s="240">
        <v>19000</v>
      </c>
      <c r="H295" s="241"/>
      <c r="I295" s="245">
        <f t="shared" si="23"/>
        <v>0.006451612903225712</v>
      </c>
      <c r="J295" s="246">
        <f t="shared" si="24"/>
        <v>-0.007246376811594235</v>
      </c>
      <c r="K295" s="246">
        <f t="shared" si="25"/>
        <v>-0.007092198581560294</v>
      </c>
      <c r="L295" s="246">
        <f t="shared" si="26"/>
        <v>-0.02238805970149249</v>
      </c>
      <c r="M295" s="247">
        <f t="shared" si="27"/>
        <v>0.032608695652173836</v>
      </c>
    </row>
    <row r="296" spans="2:13" ht="12">
      <c r="B296" s="238">
        <v>38061</v>
      </c>
      <c r="C296" s="239">
        <v>7950</v>
      </c>
      <c r="D296" s="239">
        <v>6850</v>
      </c>
      <c r="E296" s="239">
        <v>6950</v>
      </c>
      <c r="F296" s="239">
        <v>33000</v>
      </c>
      <c r="G296" s="240">
        <v>19600</v>
      </c>
      <c r="H296" s="241"/>
      <c r="I296" s="245">
        <f t="shared" si="23"/>
        <v>0.019230769230769162</v>
      </c>
      <c r="J296" s="246">
        <f t="shared" si="24"/>
        <v>0</v>
      </c>
      <c r="K296" s="246">
        <f t="shared" si="25"/>
        <v>-0.0071428571428571175</v>
      </c>
      <c r="L296" s="246">
        <f t="shared" si="26"/>
        <v>0.007633587786259444</v>
      </c>
      <c r="M296" s="247">
        <f t="shared" si="27"/>
        <v>0.03157894736842115</v>
      </c>
    </row>
    <row r="297" spans="2:13" ht="12">
      <c r="B297" s="238">
        <v>38062</v>
      </c>
      <c r="C297" s="239">
        <v>7800</v>
      </c>
      <c r="D297" s="239">
        <v>6800</v>
      </c>
      <c r="E297" s="239">
        <v>6950</v>
      </c>
      <c r="F297" s="239">
        <v>32500</v>
      </c>
      <c r="G297" s="240">
        <v>19900</v>
      </c>
      <c r="H297" s="241"/>
      <c r="I297" s="245">
        <f t="shared" si="23"/>
        <v>-0.018867924528301883</v>
      </c>
      <c r="J297" s="246">
        <f t="shared" si="24"/>
        <v>-0.007299270072992692</v>
      </c>
      <c r="K297" s="246">
        <f t="shared" si="25"/>
        <v>0</v>
      </c>
      <c r="L297" s="246">
        <f t="shared" si="26"/>
        <v>-0.015151515151515138</v>
      </c>
      <c r="M297" s="247">
        <f t="shared" si="27"/>
        <v>0.015306122448979664</v>
      </c>
    </row>
    <row r="298" spans="2:13" ht="12">
      <c r="B298" s="248">
        <v>38063</v>
      </c>
      <c r="C298" s="249">
        <v>7750</v>
      </c>
      <c r="D298" s="249">
        <v>6800</v>
      </c>
      <c r="E298" s="249">
        <v>6950</v>
      </c>
      <c r="F298" s="249">
        <v>32000</v>
      </c>
      <c r="G298" s="250">
        <v>19900</v>
      </c>
      <c r="H298" s="241"/>
      <c r="I298" s="251">
        <f t="shared" si="23"/>
        <v>-0.0064102564102563875</v>
      </c>
      <c r="J298" s="252">
        <f t="shared" si="24"/>
        <v>0</v>
      </c>
      <c r="K298" s="252">
        <f t="shared" si="25"/>
        <v>0</v>
      </c>
      <c r="L298" s="252">
        <f t="shared" si="26"/>
        <v>-0.01538461538461533</v>
      </c>
      <c r="M298" s="253">
        <f t="shared" si="27"/>
        <v>0</v>
      </c>
    </row>
    <row r="299" ht="12">
      <c r="H299" s="9"/>
    </row>
    <row r="300" spans="2:13" ht="12">
      <c r="B300" s="24"/>
      <c r="H300" s="254" t="s">
        <v>83</v>
      </c>
      <c r="I300" s="255">
        <f>AVERAGE(I4:I298)</f>
        <v>0.0022735558941600546</v>
      </c>
      <c r="J300" s="256">
        <f>AVERAGE(J4:J298)</f>
        <v>0.0004648199417661665</v>
      </c>
      <c r="K300" s="256">
        <f>AVERAGE(K4:K298)</f>
        <v>0.002641003572527153</v>
      </c>
      <c r="L300" s="256">
        <f>AVERAGE(L4:L298)</f>
        <v>0.0018755934457536144</v>
      </c>
      <c r="M300" s="257">
        <f>AVERAGE(M4:M298)</f>
        <v>0.0013630177474599733</v>
      </c>
    </row>
    <row r="301" spans="2:13" ht="12">
      <c r="B301" s="24"/>
      <c r="H301" s="258" t="s">
        <v>96</v>
      </c>
      <c r="I301" s="259">
        <f>STDEV(I4:I298)</f>
        <v>0.03290423313615962</v>
      </c>
      <c r="J301" s="260">
        <f>STDEV(J4:J298)</f>
        <v>0.024457810263777788</v>
      </c>
      <c r="K301" s="260">
        <f>STDEV(K4:K298)</f>
        <v>0.03174394999808761</v>
      </c>
      <c r="L301" s="260">
        <f>STDEV(L4:L298)</f>
        <v>0.025563701785918696</v>
      </c>
      <c r="M301" s="261">
        <f>STDEV(M4:M298)</f>
        <v>0.02622512679498266</v>
      </c>
    </row>
    <row r="302" spans="2:13" ht="12">
      <c r="B302" s="24"/>
      <c r="H302" s="262"/>
      <c r="I302" s="263"/>
      <c r="J302" s="263"/>
      <c r="K302" s="263"/>
      <c r="L302" s="263"/>
      <c r="M302" s="263"/>
    </row>
    <row r="303" spans="2:13" ht="12">
      <c r="B303" s="24"/>
      <c r="H303" s="254" t="s">
        <v>97</v>
      </c>
      <c r="I303" s="255">
        <f>((1+I300)^252)-1</f>
        <v>0.7723135256104949</v>
      </c>
      <c r="J303" s="256">
        <f>((1+J300)^252)-1</f>
        <v>0.12424017840885115</v>
      </c>
      <c r="K303" s="256">
        <f>((1+K300)^252)-1</f>
        <v>0.9438209680572507</v>
      </c>
      <c r="L303" s="256">
        <f>((1+L300)^252)-1</f>
        <v>0.6035290435601743</v>
      </c>
      <c r="M303" s="257">
        <f>((1+M300)^252)-1</f>
        <v>0.40951630559739005</v>
      </c>
    </row>
    <row r="304" spans="2:13" ht="12">
      <c r="B304" s="24"/>
      <c r="H304" s="258" t="s">
        <v>98</v>
      </c>
      <c r="I304" s="259">
        <f>I301*(252^0.5)</f>
        <v>0.5223385077574156</v>
      </c>
      <c r="J304" s="260">
        <f>J301*(252^0.5)</f>
        <v>0.38825570142695454</v>
      </c>
      <c r="K304" s="260">
        <f>K301*(252^0.5)</f>
        <v>0.5039195839548547</v>
      </c>
      <c r="L304" s="260">
        <f>L301*(252^0.5)</f>
        <v>0.40581118509455166</v>
      </c>
      <c r="M304" s="261">
        <f>M301*(252^0.5)</f>
        <v>0.416310981603963</v>
      </c>
    </row>
    <row r="305" ht="12">
      <c r="B305" s="24"/>
    </row>
    <row r="306" ht="12">
      <c r="B306" s="24"/>
    </row>
    <row r="307" ht="12">
      <c r="B307" s="24"/>
    </row>
    <row r="308" ht="12">
      <c r="B308" s="24"/>
    </row>
  </sheetData>
  <sheetProtection/>
  <printOptions/>
  <pageMargins left="0.75" right="0.75" top="1" bottom="1" header="0.5" footer="0.5"/>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dimension ref="B1:Q14"/>
  <sheetViews>
    <sheetView tabSelected="1" zoomScalePageLayoutView="0" workbookViewId="0" topLeftCell="A1">
      <selection activeCell="M11" sqref="M11"/>
    </sheetView>
  </sheetViews>
  <sheetFormatPr defaultColWidth="9.140625" defaultRowHeight="12.75"/>
  <cols>
    <col min="1" max="2" width="9.140625" style="26" customWidth="1"/>
    <col min="3" max="3" width="6.57421875" style="26" bestFit="1" customWidth="1"/>
    <col min="4" max="4" width="9.140625" style="26" customWidth="1"/>
    <col min="5" max="5" width="6.00390625" style="26" hidden="1" customWidth="1"/>
    <col min="6" max="6" width="9.140625" style="26" hidden="1" customWidth="1"/>
    <col min="7" max="7" width="2.140625" style="26" customWidth="1"/>
    <col min="8" max="10" width="9.140625" style="26" customWidth="1"/>
    <col min="11" max="12" width="9.140625" style="26" hidden="1" customWidth="1"/>
    <col min="13" max="16" width="9.140625" style="26" customWidth="1"/>
    <col min="17" max="17" width="3.8515625" style="26" customWidth="1"/>
    <col min="18" max="16384" width="9.140625" style="26" customWidth="1"/>
  </cols>
  <sheetData>
    <row r="1" spans="2:10" ht="15">
      <c r="B1" s="296" t="s">
        <v>93</v>
      </c>
      <c r="C1" s="297"/>
      <c r="D1" s="168"/>
      <c r="E1" s="168"/>
      <c r="F1" s="168"/>
      <c r="G1" s="168"/>
      <c r="H1" s="168"/>
      <c r="I1" s="296" t="s">
        <v>94</v>
      </c>
      <c r="J1" s="297"/>
    </row>
    <row r="2" spans="2:10" s="25" customFormat="1" ht="15">
      <c r="B2" s="169" t="s">
        <v>67</v>
      </c>
      <c r="C2" s="170" t="s">
        <v>68</v>
      </c>
      <c r="D2" s="171"/>
      <c r="E2" s="171"/>
      <c r="F2" s="171"/>
      <c r="G2" s="171"/>
      <c r="H2" s="171"/>
      <c r="I2" s="169" t="s">
        <v>67</v>
      </c>
      <c r="J2" s="170" t="s">
        <v>68</v>
      </c>
    </row>
    <row r="3" spans="2:12" ht="12.75">
      <c r="B3" s="172">
        <v>0.01</v>
      </c>
      <c r="C3" s="298">
        <v>-10</v>
      </c>
      <c r="D3" s="173"/>
      <c r="E3" s="173">
        <f aca="true" t="shared" si="0" ref="E3:E9">B3*C3</f>
        <v>-0.1</v>
      </c>
      <c r="F3" s="173">
        <f aca="true" t="shared" si="1" ref="F3:F9">B3*(C3-$E$10)^2</f>
        <v>1.04550625</v>
      </c>
      <c r="G3" s="173"/>
      <c r="H3" s="173"/>
      <c r="I3" s="172">
        <v>0.01</v>
      </c>
      <c r="J3" s="298">
        <v>-10</v>
      </c>
      <c r="K3" s="26">
        <f aca="true" t="shared" si="2" ref="K3:K9">I3*J3</f>
        <v>-0.1</v>
      </c>
      <c r="L3" s="26">
        <f aca="true" t="shared" si="3" ref="L3:L9">I3*(J3-$K$10)^2</f>
        <v>0.67650625</v>
      </c>
    </row>
    <row r="4" spans="2:12" ht="12.75">
      <c r="B4" s="174">
        <v>0.04</v>
      </c>
      <c r="C4" s="299">
        <v>-7.5</v>
      </c>
      <c r="D4" s="173"/>
      <c r="E4" s="173">
        <f t="shared" si="0"/>
        <v>-0.3</v>
      </c>
      <c r="F4" s="173">
        <f t="shared" si="1"/>
        <v>2.387025</v>
      </c>
      <c r="G4" s="173"/>
      <c r="H4" s="173"/>
      <c r="I4" s="174">
        <v>0.04</v>
      </c>
      <c r="J4" s="299">
        <v>-7.5</v>
      </c>
      <c r="K4" s="26">
        <f t="shared" si="2"/>
        <v>-0.3</v>
      </c>
      <c r="L4" s="26">
        <f t="shared" si="3"/>
        <v>1.3110249999999999</v>
      </c>
    </row>
    <row r="5" spans="2:12" ht="12.75">
      <c r="B5" s="174">
        <v>0.05</v>
      </c>
      <c r="C5" s="299">
        <v>-5</v>
      </c>
      <c r="D5" s="173"/>
      <c r="E5" s="173">
        <f t="shared" si="0"/>
        <v>-0.25</v>
      </c>
      <c r="F5" s="173">
        <f t="shared" si="1"/>
        <v>1.36503125</v>
      </c>
      <c r="G5" s="173"/>
      <c r="H5" s="173"/>
      <c r="I5" s="174">
        <v>0.25</v>
      </c>
      <c r="J5" s="299">
        <v>-5</v>
      </c>
      <c r="K5" s="26">
        <f t="shared" si="2"/>
        <v>-1.25</v>
      </c>
      <c r="L5" s="26">
        <f t="shared" si="3"/>
        <v>2.60015625</v>
      </c>
    </row>
    <row r="6" spans="2:12" ht="12.75">
      <c r="B6" s="174">
        <v>0.1</v>
      </c>
      <c r="C6" s="299">
        <v>-2.5</v>
      </c>
      <c r="D6" s="173"/>
      <c r="E6" s="173">
        <f t="shared" si="0"/>
        <v>-0.25</v>
      </c>
      <c r="F6" s="173">
        <f t="shared" si="1"/>
        <v>0.7425625</v>
      </c>
      <c r="G6" s="173"/>
      <c r="H6" s="173"/>
      <c r="I6" s="174">
        <v>0.25</v>
      </c>
      <c r="J6" s="299">
        <v>-2.5</v>
      </c>
      <c r="K6" s="26">
        <f t="shared" si="2"/>
        <v>-0.625</v>
      </c>
      <c r="L6" s="26">
        <f t="shared" si="3"/>
        <v>0.13140625000000003</v>
      </c>
    </row>
    <row r="7" spans="2:12" ht="12.75">
      <c r="B7" s="174">
        <v>0.5</v>
      </c>
      <c r="C7" s="299">
        <v>0</v>
      </c>
      <c r="D7" s="173"/>
      <c r="E7" s="173">
        <f t="shared" si="0"/>
        <v>0</v>
      </c>
      <c r="F7" s="173">
        <f t="shared" si="1"/>
        <v>0.025312499999999995</v>
      </c>
      <c r="G7" s="173"/>
      <c r="H7" s="173"/>
      <c r="I7" s="174">
        <v>0.3</v>
      </c>
      <c r="J7" s="299">
        <v>0</v>
      </c>
      <c r="K7" s="26">
        <f t="shared" si="2"/>
        <v>0</v>
      </c>
      <c r="L7" s="26">
        <f t="shared" si="3"/>
        <v>0.9451874999999998</v>
      </c>
    </row>
    <row r="8" spans="2:12" ht="12.75">
      <c r="B8" s="174">
        <v>0.15</v>
      </c>
      <c r="C8" s="299">
        <v>2.5</v>
      </c>
      <c r="D8" s="173"/>
      <c r="E8" s="173">
        <f t="shared" si="0"/>
        <v>0.375</v>
      </c>
      <c r="F8" s="173">
        <f t="shared" si="1"/>
        <v>0.7763437499999999</v>
      </c>
      <c r="G8" s="173"/>
      <c r="H8" s="173"/>
      <c r="I8" s="174">
        <v>0.1</v>
      </c>
      <c r="J8" s="299">
        <v>2.5</v>
      </c>
      <c r="K8" s="26">
        <f t="shared" si="2"/>
        <v>0.25</v>
      </c>
      <c r="L8" s="26">
        <f t="shared" si="3"/>
        <v>1.8275625000000002</v>
      </c>
    </row>
    <row r="9" spans="2:12" ht="12.75">
      <c r="B9" s="175">
        <v>0.15</v>
      </c>
      <c r="C9" s="300">
        <v>5</v>
      </c>
      <c r="D9" s="173"/>
      <c r="E9" s="173">
        <f t="shared" si="0"/>
        <v>0.75</v>
      </c>
      <c r="F9" s="173">
        <f t="shared" si="1"/>
        <v>3.4200937500000004</v>
      </c>
      <c r="G9" s="173"/>
      <c r="H9" s="173"/>
      <c r="I9" s="175">
        <v>0.05</v>
      </c>
      <c r="J9" s="300">
        <v>5</v>
      </c>
      <c r="K9" s="26">
        <f t="shared" si="2"/>
        <v>0.25</v>
      </c>
      <c r="L9" s="26">
        <f t="shared" si="3"/>
        <v>2.2950312500000005</v>
      </c>
    </row>
    <row r="10" spans="2:12" ht="12.75">
      <c r="B10" s="168"/>
      <c r="C10" s="168"/>
      <c r="D10" s="168"/>
      <c r="E10" s="168">
        <f>SUM(E3:E9)</f>
        <v>0.22499999999999998</v>
      </c>
      <c r="F10" s="168">
        <f>SQRT(SUM(F3:F9))</f>
        <v>3.124399942388938</v>
      </c>
      <c r="G10" s="168"/>
      <c r="H10" s="168"/>
      <c r="I10" s="168"/>
      <c r="J10" s="168"/>
      <c r="K10" s="26">
        <f>SUM(K3:K9)</f>
        <v>-1.775</v>
      </c>
      <c r="L10" s="26">
        <f>SQRT(SUM(L3:L9))</f>
        <v>3.1283981524096323</v>
      </c>
    </row>
    <row r="11" spans="2:17" ht="12.75">
      <c r="B11" s="176" t="s">
        <v>69</v>
      </c>
      <c r="C11" s="177"/>
      <c r="D11" s="178">
        <f>SUM(E3:E9)</f>
        <v>0.22499999999999998</v>
      </c>
      <c r="E11" s="171"/>
      <c r="F11" s="171"/>
      <c r="G11" s="171"/>
      <c r="H11" s="176" t="s">
        <v>69</v>
      </c>
      <c r="I11" s="179"/>
      <c r="J11" s="178">
        <f>SUM(K3:K9)</f>
        <v>-1.775</v>
      </c>
      <c r="O11" s="302" t="s">
        <v>95</v>
      </c>
      <c r="P11" s="301"/>
      <c r="Q11" s="301"/>
    </row>
    <row r="12" spans="2:10" ht="12.75">
      <c r="B12" s="180" t="s">
        <v>58</v>
      </c>
      <c r="C12" s="181"/>
      <c r="D12" s="182">
        <f>SQRT(SUM(F3:F9))</f>
        <v>3.124399942388938</v>
      </c>
      <c r="E12" s="171"/>
      <c r="F12" s="171"/>
      <c r="G12" s="171"/>
      <c r="H12" s="180" t="s">
        <v>58</v>
      </c>
      <c r="I12" s="183"/>
      <c r="J12" s="184">
        <f>SQRT(SUM(L3:L9))</f>
        <v>3.1283981524096323</v>
      </c>
    </row>
    <row r="13" spans="2:10" ht="12.75">
      <c r="B13" s="180" t="s">
        <v>65</v>
      </c>
      <c r="C13" s="181"/>
      <c r="D13" s="182">
        <v>-10</v>
      </c>
      <c r="E13" s="171"/>
      <c r="F13" s="171"/>
      <c r="G13" s="171"/>
      <c r="H13" s="180" t="s">
        <v>65</v>
      </c>
      <c r="I13" s="183"/>
      <c r="J13" s="182">
        <v>-10</v>
      </c>
    </row>
    <row r="14" spans="2:10" ht="12.75">
      <c r="B14" s="185" t="s">
        <v>66</v>
      </c>
      <c r="C14" s="186"/>
      <c r="D14" s="187">
        <v>-7.5</v>
      </c>
      <c r="E14" s="171"/>
      <c r="F14" s="171"/>
      <c r="G14" s="171"/>
      <c r="H14" s="185" t="s">
        <v>66</v>
      </c>
      <c r="I14" s="188"/>
      <c r="J14" s="187">
        <v>-7.5</v>
      </c>
    </row>
  </sheetData>
  <sheetProtection password="DDD4" sheet="1" scenario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L125"/>
  <sheetViews>
    <sheetView zoomScalePageLayoutView="0" workbookViewId="0" topLeftCell="A1">
      <selection activeCell="A1" sqref="A1"/>
    </sheetView>
  </sheetViews>
  <sheetFormatPr defaultColWidth="9.140625" defaultRowHeight="12.75"/>
  <sheetData>
    <row r="1" ht="12.75">
      <c r="A1" t="s">
        <v>0</v>
      </c>
    </row>
    <row r="2" spans="1:12" ht="12.75">
      <c r="A2" t="e">
        <f>IF(ISBLANK(#REF!),"",#REF!)</f>
        <v>#REF!</v>
      </c>
      <c r="B2" t="e">
        <f>QUARTILE($A$2:$A$125,1)</f>
        <v>#REF!</v>
      </c>
      <c r="C2">
        <v>0.5</v>
      </c>
      <c r="D2" t="e">
        <f>IF(OR($A$2&lt;$B$6,$A$2&gt;$B$8),$A$2,#N/A)</f>
        <v>#REF!</v>
      </c>
      <c r="E2" t="e">
        <f>IF(OR(AND($A$2&lt;$B$5,$A$2&gt;=$B$6),AND($A$2&gt;$B$7,$A$2&lt;=$B$8)),$A$2,#N/A)</f>
        <v>#REF!</v>
      </c>
      <c r="F2" t="e">
        <f>IF(OR(AND($A$2&lt;$B$2,$A$2&gt;=$B$5),AND($A$2&gt;$B$4,$A$2&lt;=$B$7)),$A$2,"")</f>
        <v>#REF!</v>
      </c>
      <c r="G2">
        <v>0.2</v>
      </c>
      <c r="H2" t="e">
        <f>$B$3</f>
        <v>#REF!</v>
      </c>
      <c r="I2">
        <v>0.5</v>
      </c>
      <c r="J2" t="e">
        <f>MIN($A$2:$A$125)-(MAX($A$2:$A$125)-MIN($A$2:$A$125))/14</f>
        <v>#REF!</v>
      </c>
      <c r="K2">
        <v>0.2</v>
      </c>
      <c r="L2" t="e">
        <f>AVERAGE($A$2:$A$125)</f>
        <v>#REF!</v>
      </c>
    </row>
    <row r="3" spans="1:12" ht="12.75">
      <c r="A3" t="e">
        <f>IF(ISBLANK(#REF!),"",#REF!)</f>
        <v>#REF!</v>
      </c>
      <c r="B3" t="e">
        <f>QUARTILE($A$2:$A$125,2)</f>
        <v>#REF!</v>
      </c>
      <c r="C3">
        <v>0.5</v>
      </c>
      <c r="D3" t="e">
        <f>IF(OR($A$3&lt;$B$6,$A$3&gt;$B$8),$A$3,#N/A)</f>
        <v>#REF!</v>
      </c>
      <c r="E3" t="e">
        <f>IF(OR(AND($A$3&lt;$B$5,$A$3&gt;=$B$6),AND($A$3&gt;$B$7,$A$3&lt;=$B$8)),$A$3,#N/A)</f>
        <v>#REF!</v>
      </c>
      <c r="F3" t="e">
        <f>IF(OR(AND($A$3&lt;$B$2,$A$3&gt;=$B$5),AND($A$3&gt;$B$4,$A$3&lt;=$B$7)),$A$3,"")</f>
        <v>#REF!</v>
      </c>
      <c r="G3">
        <v>0.2</v>
      </c>
      <c r="H3" t="e">
        <f>$B$2</f>
        <v>#REF!</v>
      </c>
      <c r="K3">
        <v>0.8</v>
      </c>
      <c r="L3" t="e">
        <f>AVERAGE($A$2:$A$125)</f>
        <v>#REF!</v>
      </c>
    </row>
    <row r="4" spans="1:8" ht="12.75">
      <c r="A4" t="e">
        <f>IF(ISBLANK(#REF!),"",#REF!)</f>
        <v>#REF!</v>
      </c>
      <c r="B4" t="e">
        <f>QUARTILE($A$2:$A$125,3)</f>
        <v>#REF!</v>
      </c>
      <c r="C4">
        <v>0.5</v>
      </c>
      <c r="D4" t="e">
        <f>IF(OR($A$4&lt;$B$6,$A$4&gt;$B$8),$A$4,#N/A)</f>
        <v>#REF!</v>
      </c>
      <c r="E4" t="e">
        <f>IF(OR(AND($A$4&lt;$B$5,$A$4&gt;=$B$6),AND($A$4&gt;$B$7,$A$4&lt;=$B$8)),$A$4,#N/A)</f>
        <v>#REF!</v>
      </c>
      <c r="F4" t="e">
        <f>IF(OR(AND($A$4&lt;$B$2,$A$4&gt;=$B$5),AND($A$4&gt;$B$4,$A$4&lt;=$B$7)),$A$4,"")</f>
        <v>#REF!</v>
      </c>
      <c r="G4">
        <v>0.5</v>
      </c>
      <c r="H4" t="e">
        <f>$B$2</f>
        <v>#REF!</v>
      </c>
    </row>
    <row r="5" spans="1:8" ht="12.75">
      <c r="A5" t="e">
        <f>IF(ISBLANK(#REF!),"",#REF!)</f>
        <v>#REF!</v>
      </c>
      <c r="B5" t="e">
        <f>$B$2-1.5*($B$4-$B$2)</f>
        <v>#REF!</v>
      </c>
      <c r="C5">
        <v>0.5</v>
      </c>
      <c r="D5" t="e">
        <f>IF(OR($A$5&lt;$B$6,$A$5&gt;$B$8),$A$5,#N/A)</f>
        <v>#REF!</v>
      </c>
      <c r="E5" t="e">
        <f>IF(OR(AND($A$5&lt;$B$5,$A$5&gt;=$B$6),AND($A$5&gt;$B$7,$A$5&lt;=$B$8)),$A$5,#N/A)</f>
        <v>#REF!</v>
      </c>
      <c r="F5" t="e">
        <f>IF(OR(AND($A$5&lt;$B$2,$A$5&gt;=$B$5),AND($A$5&gt;$B$4,$A$5&lt;=$B$7)),$A$5,"")</f>
        <v>#REF!</v>
      </c>
      <c r="G5">
        <v>0.5</v>
      </c>
      <c r="H5" t="e">
        <f>$B$9</f>
        <v>#REF!</v>
      </c>
    </row>
    <row r="6" spans="1:8" ht="12.75">
      <c r="A6" t="e">
        <f>IF(ISBLANK(#REF!),"",#REF!)</f>
        <v>#REF!</v>
      </c>
      <c r="B6" t="e">
        <f>$B$2-3*($B$4-$B$2)</f>
        <v>#REF!</v>
      </c>
      <c r="C6">
        <v>0.5</v>
      </c>
      <c r="D6" t="e">
        <f>IF(OR($A$6&lt;$B$6,$A$6&gt;$B$8),$A$6,#N/A)</f>
        <v>#REF!</v>
      </c>
      <c r="E6" t="e">
        <f>IF(OR(AND($A$6&lt;$B$5,$A$6&gt;=$B$6),AND($A$6&gt;$B$7,$A$6&lt;=$B$8)),$A$6,#N/A)</f>
        <v>#REF!</v>
      </c>
      <c r="F6" t="e">
        <f>IF(OR(AND($A$6&lt;$B$2,$A$6&gt;=$B$5),AND($A$6&gt;$B$4,$A$6&lt;=$B$7)),$A$6,"")</f>
        <v>#REF!</v>
      </c>
      <c r="G6">
        <v>0.5</v>
      </c>
      <c r="H6" t="e">
        <f>$B$2</f>
        <v>#REF!</v>
      </c>
    </row>
    <row r="7" spans="1:8" ht="12.75">
      <c r="A7" t="e">
        <f>IF(ISBLANK(#REF!),"",#REF!)</f>
        <v>#REF!</v>
      </c>
      <c r="B7" t="e">
        <f>$B$4+1.5*($B$4-$B$2)</f>
        <v>#REF!</v>
      </c>
      <c r="C7">
        <v>0.5</v>
      </c>
      <c r="D7" t="e">
        <f>IF(OR($A$7&lt;$B$6,$A$7&gt;$B$8),$A$7,#N/A)</f>
        <v>#REF!</v>
      </c>
      <c r="E7" t="e">
        <f>IF(OR(AND($A$7&lt;$B$5,$A$7&gt;=$B$6),AND($A$7&gt;$B$7,$A$7&lt;=$B$8)),$A$7,#N/A)</f>
        <v>#REF!</v>
      </c>
      <c r="F7" t="e">
        <f>IF(OR(AND($A$7&lt;$B$2,$A$7&gt;=$B$5),AND($A$7&gt;$B$4,$A$7&lt;=$B$7)),$A$7,"")</f>
        <v>#REF!</v>
      </c>
      <c r="G7">
        <v>0.8</v>
      </c>
      <c r="H7" t="e">
        <f>$B$2</f>
        <v>#REF!</v>
      </c>
    </row>
    <row r="8" spans="1:8" ht="12.75">
      <c r="A8" t="e">
        <f>IF(ISBLANK(#REF!),"",#REF!)</f>
        <v>#REF!</v>
      </c>
      <c r="B8" t="e">
        <f>$B$4+3*($B$4-$B$2)</f>
        <v>#REF!</v>
      </c>
      <c r="C8">
        <v>0.5</v>
      </c>
      <c r="D8" t="e">
        <f>IF(OR($A$8&lt;$B$6,$A$8&gt;$B$8),$A$8,#N/A)</f>
        <v>#REF!</v>
      </c>
      <c r="E8" t="e">
        <f>IF(OR(AND($A$8&lt;$B$5,$A$8&gt;=$B$6),AND($A$8&gt;$B$7,$A$8&lt;=$B$8)),$A$8,#N/A)</f>
        <v>#REF!</v>
      </c>
      <c r="F8" t="e">
        <f>IF(OR(AND($A$8&lt;$B$2,$A$8&gt;=$B$5),AND($A$8&gt;$B$4,$A$8&lt;=$B$7)),$A$8,"")</f>
        <v>#REF!</v>
      </c>
      <c r="G8">
        <v>0.8</v>
      </c>
      <c r="H8" t="e">
        <f>$B$4</f>
        <v>#REF!</v>
      </c>
    </row>
    <row r="9" spans="1:8" ht="12.75">
      <c r="A9" t="e">
        <f>IF(ISBLANK(#REF!),"",#REF!)</f>
        <v>#REF!</v>
      </c>
      <c r="B9" t="e">
        <f>IF(AND(COUNT($F$2:$F$125)&gt;0,MIN($F$2:$F$125)&lt;$B$2),MIN($F$2:$F$125),$B$2)</f>
        <v>#REF!</v>
      </c>
      <c r="C9">
        <v>0.5</v>
      </c>
      <c r="D9" t="e">
        <f>IF(OR($A$9&lt;$B$6,$A$9&gt;$B$8),$A$9,#N/A)</f>
        <v>#REF!</v>
      </c>
      <c r="E9" t="e">
        <f>IF(OR(AND($A$9&lt;$B$5,$A$9&gt;=$B$6),AND($A$9&gt;$B$7,$A$9&lt;=$B$8)),$A$9,#N/A)</f>
        <v>#REF!</v>
      </c>
      <c r="F9" t="e">
        <f>IF(OR(AND($A$9&lt;$B$2,$A$9&gt;=$B$5),AND($A$9&gt;$B$4,$A$9&lt;=$B$7)),$A$9,"")</f>
        <v>#REF!</v>
      </c>
      <c r="G9">
        <v>0.5</v>
      </c>
      <c r="H9" t="e">
        <f>$B$4</f>
        <v>#REF!</v>
      </c>
    </row>
    <row r="10" spans="1:8" ht="12.75">
      <c r="A10" t="e">
        <f>IF(ISBLANK(#REF!),"",#REF!)</f>
        <v>#REF!</v>
      </c>
      <c r="B10" t="e">
        <f>IF(AND(COUNT($F$2:$F$125)&gt;0,MAX($F$2:$F$125)&gt;$B$4),MAX($F$2:$F$125),$B$4)</f>
        <v>#REF!</v>
      </c>
      <c r="C10">
        <v>0.5</v>
      </c>
      <c r="D10" t="e">
        <f>IF(OR($A$10&lt;$B$6,$A$10&gt;$B$8),$A$10,#N/A)</f>
        <v>#REF!</v>
      </c>
      <c r="E10" t="e">
        <f>IF(OR(AND($A$10&lt;$B$5,$A$10&gt;=$B$6),AND($A$10&gt;$B$7,$A$10&lt;=$B$8)),$A$10,#N/A)</f>
        <v>#REF!</v>
      </c>
      <c r="F10" t="e">
        <f>IF(OR(AND($A$10&lt;$B$2,$A$10&gt;=$B$5),AND($A$10&gt;$B$4,$A$10&lt;=$B$7)),$A$10,"")</f>
        <v>#REF!</v>
      </c>
      <c r="G10">
        <v>0.5</v>
      </c>
      <c r="H10" t="e">
        <f>$B$10</f>
        <v>#REF!</v>
      </c>
    </row>
    <row r="11" spans="1:8" ht="12.75">
      <c r="A11" t="e">
        <f>IF(ISBLANK(#REF!),"",#REF!)</f>
        <v>#REF!</v>
      </c>
      <c r="C11">
        <v>0.5</v>
      </c>
      <c r="D11" t="e">
        <f>IF(OR($A$11&lt;$B$6,$A$11&gt;$B$8),$A$11,#N/A)</f>
        <v>#REF!</v>
      </c>
      <c r="E11" t="e">
        <f>IF(OR(AND($A$11&lt;$B$5,$A$11&gt;=$B$6),AND($A$11&gt;$B$7,$A$11&lt;=$B$8)),$A$11,#N/A)</f>
        <v>#REF!</v>
      </c>
      <c r="F11" t="e">
        <f>IF(OR(AND($A$11&lt;$B$2,$A$11&gt;=$B$5),AND($A$11&gt;$B$4,$A$11&lt;=$B$7)),$A$11,"")</f>
        <v>#REF!</v>
      </c>
      <c r="G11">
        <v>0.5</v>
      </c>
      <c r="H11" t="e">
        <f>$B$4</f>
        <v>#REF!</v>
      </c>
    </row>
    <row r="12" spans="1:8" ht="12.75">
      <c r="A12" t="e">
        <f>IF(ISBLANK(#REF!),"",#REF!)</f>
        <v>#REF!</v>
      </c>
      <c r="C12">
        <v>0.5</v>
      </c>
      <c r="D12" t="e">
        <f>IF(OR($A$12&lt;$B$6,$A$12&gt;$B$8),$A$12,#N/A)</f>
        <v>#REF!</v>
      </c>
      <c r="E12" t="e">
        <f>IF(OR(AND($A$12&lt;$B$5,$A$12&gt;=$B$6),AND($A$12&gt;$B$7,$A$12&lt;=$B$8)),$A$12,#N/A)</f>
        <v>#REF!</v>
      </c>
      <c r="F12" t="e">
        <f>IF(OR(AND($A$12&lt;$B$2,$A$12&gt;=$B$5),AND($A$12&gt;$B$4,$A$12&lt;=$B$7)),$A$12,"")</f>
        <v>#REF!</v>
      </c>
      <c r="G12">
        <v>0.2</v>
      </c>
      <c r="H12" t="e">
        <f>$B$4</f>
        <v>#REF!</v>
      </c>
    </row>
    <row r="13" spans="1:8" ht="12.75">
      <c r="A13" t="e">
        <f>IF(ISBLANK(#REF!),"",#REF!)</f>
        <v>#REF!</v>
      </c>
      <c r="C13">
        <v>0.5</v>
      </c>
      <c r="D13" t="e">
        <f>IF(OR($A$13&lt;$B$6,$A$13&gt;$B$8),$A$13,#N/A)</f>
        <v>#REF!</v>
      </c>
      <c r="E13" t="e">
        <f>IF(OR(AND($A$13&lt;$B$5,$A$13&gt;=$B$6),AND($A$13&gt;$B$7,$A$13&lt;=$B$8)),$A$13,#N/A)</f>
        <v>#REF!</v>
      </c>
      <c r="F13" t="e">
        <f>IF(OR(AND($A$13&lt;$B$2,$A$13&gt;=$B$5),AND($A$13&gt;$B$4,$A$13&lt;=$B$7)),$A$13,"")</f>
        <v>#REF!</v>
      </c>
      <c r="G13">
        <v>0.2</v>
      </c>
      <c r="H13" t="e">
        <f>$B$3</f>
        <v>#REF!</v>
      </c>
    </row>
    <row r="14" spans="1:8" ht="12.75">
      <c r="A14" t="e">
        <f>IF(ISBLANK(#REF!),"",#REF!)</f>
        <v>#REF!</v>
      </c>
      <c r="C14">
        <v>0.5</v>
      </c>
      <c r="D14" t="e">
        <f>IF(OR($A$14&lt;$B$6,$A$14&gt;$B$8),$A$14,#N/A)</f>
        <v>#REF!</v>
      </c>
      <c r="E14" t="e">
        <f>IF(OR(AND($A$14&lt;$B$5,$A$14&gt;=$B$6),AND($A$14&gt;$B$7,$A$14&lt;=$B$8)),$A$14,#N/A)</f>
        <v>#REF!</v>
      </c>
      <c r="F14" t="e">
        <f>IF(OR(AND($A$14&lt;$B$2,$A$14&gt;=$B$5),AND($A$14&gt;$B$4,$A$14&lt;=$B$7)),$A$14,"")</f>
        <v>#REF!</v>
      </c>
      <c r="G14">
        <v>0.8</v>
      </c>
      <c r="H14" t="e">
        <f>$B$3</f>
        <v>#REF!</v>
      </c>
    </row>
    <row r="15" spans="1:6" ht="12.75">
      <c r="A15" t="e">
        <f>IF(ISBLANK(#REF!),"",#REF!)</f>
        <v>#REF!</v>
      </c>
      <c r="C15">
        <v>0.5</v>
      </c>
      <c r="D15" t="e">
        <f>IF(OR($A$15&lt;$B$6,$A$15&gt;$B$8),$A$15,#N/A)</f>
        <v>#REF!</v>
      </c>
      <c r="E15" t="e">
        <f>IF(OR(AND($A$15&lt;$B$5,$A$15&gt;=$B$6),AND($A$15&gt;$B$7,$A$15&lt;=$B$8)),$A$15,#N/A)</f>
        <v>#REF!</v>
      </c>
      <c r="F15" t="e">
        <f>IF(OR(AND($A$15&lt;$B$2,$A$15&gt;=$B$5),AND($A$15&gt;$B$4,$A$15&lt;=$B$7)),$A$15,"")</f>
        <v>#REF!</v>
      </c>
    </row>
    <row r="16" spans="1:6" ht="12.75">
      <c r="A16" t="e">
        <f>IF(ISBLANK(#REF!),"",#REF!)</f>
        <v>#REF!</v>
      </c>
      <c r="C16">
        <v>0.5</v>
      </c>
      <c r="D16" t="e">
        <f>IF(OR($A$16&lt;$B$6,$A$16&gt;$B$8),$A$16,#N/A)</f>
        <v>#REF!</v>
      </c>
      <c r="E16" t="e">
        <f>IF(OR(AND($A$16&lt;$B$5,$A$16&gt;=$B$6),AND($A$16&gt;$B$7,$A$16&lt;=$B$8)),$A$16,#N/A)</f>
        <v>#REF!</v>
      </c>
      <c r="F16" t="e">
        <f>IF(OR(AND($A$16&lt;$B$2,$A$16&gt;=$B$5),AND($A$16&gt;$B$4,$A$16&lt;=$B$7)),$A$16,"")</f>
        <v>#REF!</v>
      </c>
    </row>
    <row r="17" spans="1:6" ht="12.75">
      <c r="A17" t="e">
        <f>IF(ISBLANK(#REF!),"",#REF!)</f>
        <v>#REF!</v>
      </c>
      <c r="C17">
        <v>0.5</v>
      </c>
      <c r="D17" t="e">
        <f>IF(OR($A$17&lt;$B$6,$A$17&gt;$B$8),$A$17,#N/A)</f>
        <v>#REF!</v>
      </c>
      <c r="E17" t="e">
        <f>IF(OR(AND($A$17&lt;$B$5,$A$17&gt;=$B$6),AND($A$17&gt;$B$7,$A$17&lt;=$B$8)),$A$17,#N/A)</f>
        <v>#REF!</v>
      </c>
      <c r="F17" t="e">
        <f>IF(OR(AND($A$17&lt;$B$2,$A$17&gt;=$B$5),AND($A$17&gt;$B$4,$A$17&lt;=$B$7)),$A$17,"")</f>
        <v>#REF!</v>
      </c>
    </row>
    <row r="18" spans="1:6" ht="12.75">
      <c r="A18" t="e">
        <f>IF(ISBLANK(#REF!),"",#REF!)</f>
        <v>#REF!</v>
      </c>
      <c r="C18">
        <v>0.5</v>
      </c>
      <c r="D18" t="e">
        <f>IF(OR($A$18&lt;$B$6,$A$18&gt;$B$8),$A$18,#N/A)</f>
        <v>#REF!</v>
      </c>
      <c r="E18" t="e">
        <f>IF(OR(AND($A$18&lt;$B$5,$A$18&gt;=$B$6),AND($A$18&gt;$B$7,$A$18&lt;=$B$8)),$A$18,#N/A)</f>
        <v>#REF!</v>
      </c>
      <c r="F18" t="e">
        <f>IF(OR(AND($A$18&lt;$B$2,$A$18&gt;=$B$5),AND($A$18&gt;$B$4,$A$18&lt;=$B$7)),$A$18,"")</f>
        <v>#REF!</v>
      </c>
    </row>
    <row r="19" spans="1:6" ht="12.75">
      <c r="A19" t="e">
        <f>IF(ISBLANK(#REF!),"",#REF!)</f>
        <v>#REF!</v>
      </c>
      <c r="C19">
        <v>0.5</v>
      </c>
      <c r="D19" t="e">
        <f>IF(OR($A$19&lt;$B$6,$A$19&gt;$B$8),$A$19,#N/A)</f>
        <v>#REF!</v>
      </c>
      <c r="E19" t="e">
        <f>IF(OR(AND($A$19&lt;$B$5,$A$19&gt;=$B$6),AND($A$19&gt;$B$7,$A$19&lt;=$B$8)),$A$19,#N/A)</f>
        <v>#REF!</v>
      </c>
      <c r="F19" t="e">
        <f>IF(OR(AND($A$19&lt;$B$2,$A$19&gt;=$B$5),AND($A$19&gt;$B$4,$A$19&lt;=$B$7)),$A$19,"")</f>
        <v>#REF!</v>
      </c>
    </row>
    <row r="20" spans="1:6" ht="12.75">
      <c r="A20" t="e">
        <f>IF(ISBLANK(#REF!),"",#REF!)</f>
        <v>#REF!</v>
      </c>
      <c r="C20">
        <v>0.5</v>
      </c>
      <c r="D20" t="e">
        <f>IF(OR($A$20&lt;$B$6,$A$20&gt;$B$8),$A$20,#N/A)</f>
        <v>#REF!</v>
      </c>
      <c r="E20" t="e">
        <f>IF(OR(AND($A$20&lt;$B$5,$A$20&gt;=$B$6),AND($A$20&gt;$B$7,$A$20&lt;=$B$8)),$A$20,#N/A)</f>
        <v>#REF!</v>
      </c>
      <c r="F20" t="e">
        <f>IF(OR(AND($A$20&lt;$B$2,$A$20&gt;=$B$5),AND($A$20&gt;$B$4,$A$20&lt;=$B$7)),$A$20,"")</f>
        <v>#REF!</v>
      </c>
    </row>
    <row r="21" spans="1:6" ht="12.75">
      <c r="A21" t="e">
        <f>IF(ISBLANK(#REF!),"",#REF!)</f>
        <v>#REF!</v>
      </c>
      <c r="C21">
        <v>0.5</v>
      </c>
      <c r="D21" t="e">
        <f>IF(OR($A$21&lt;$B$6,$A$21&gt;$B$8),$A$21,#N/A)</f>
        <v>#REF!</v>
      </c>
      <c r="E21" t="e">
        <f>IF(OR(AND($A$21&lt;$B$5,$A$21&gt;=$B$6),AND($A$21&gt;$B$7,$A$21&lt;=$B$8)),$A$21,#N/A)</f>
        <v>#REF!</v>
      </c>
      <c r="F21" t="e">
        <f>IF(OR(AND($A$21&lt;$B$2,$A$21&gt;=$B$5),AND($A$21&gt;$B$4,$A$21&lt;=$B$7)),$A$21,"")</f>
        <v>#REF!</v>
      </c>
    </row>
    <row r="22" spans="1:6" ht="12.75">
      <c r="A22" t="e">
        <f>IF(ISBLANK(#REF!),"",#REF!)</f>
        <v>#REF!</v>
      </c>
      <c r="C22">
        <v>0.5</v>
      </c>
      <c r="D22" t="e">
        <f>IF(OR($A$22&lt;$B$6,$A$22&gt;$B$8),$A$22,#N/A)</f>
        <v>#REF!</v>
      </c>
      <c r="E22" t="e">
        <f>IF(OR(AND($A$22&lt;$B$5,$A$22&gt;=$B$6),AND($A$22&gt;$B$7,$A$22&lt;=$B$8)),$A$22,#N/A)</f>
        <v>#REF!</v>
      </c>
      <c r="F22" t="e">
        <f>IF(OR(AND($A$22&lt;$B$2,$A$22&gt;=$B$5),AND($A$22&gt;$B$4,$A$22&lt;=$B$7)),$A$22,"")</f>
        <v>#REF!</v>
      </c>
    </row>
    <row r="23" spans="1:6" ht="12.75">
      <c r="A23" t="e">
        <f>IF(ISBLANK(#REF!),"",#REF!)</f>
        <v>#REF!</v>
      </c>
      <c r="C23">
        <v>0.5</v>
      </c>
      <c r="D23" t="e">
        <f>IF(OR($A$23&lt;$B$6,$A$23&gt;$B$8),$A$23,#N/A)</f>
        <v>#REF!</v>
      </c>
      <c r="E23" t="e">
        <f>IF(OR(AND($A$23&lt;$B$5,$A$23&gt;=$B$6),AND($A$23&gt;$B$7,$A$23&lt;=$B$8)),$A$23,#N/A)</f>
        <v>#REF!</v>
      </c>
      <c r="F23" t="e">
        <f>IF(OR(AND($A$23&lt;$B$2,$A$23&gt;=$B$5),AND($A$23&gt;$B$4,$A$23&lt;=$B$7)),$A$23,"")</f>
        <v>#REF!</v>
      </c>
    </row>
    <row r="24" spans="1:6" ht="12.75">
      <c r="A24" t="e">
        <f>IF(ISBLANK(#REF!),"",#REF!)</f>
        <v>#REF!</v>
      </c>
      <c r="C24">
        <v>0.5</v>
      </c>
      <c r="D24" t="e">
        <f>IF(OR($A$24&lt;$B$6,$A$24&gt;$B$8),$A$24,#N/A)</f>
        <v>#REF!</v>
      </c>
      <c r="E24" t="e">
        <f>IF(OR(AND($A$24&lt;$B$5,$A$24&gt;=$B$6),AND($A$24&gt;$B$7,$A$24&lt;=$B$8)),$A$24,#N/A)</f>
        <v>#REF!</v>
      </c>
      <c r="F24" t="e">
        <f>IF(OR(AND($A$24&lt;$B$2,$A$24&gt;=$B$5),AND($A$24&gt;$B$4,$A$24&lt;=$B$7)),$A$24,"")</f>
        <v>#REF!</v>
      </c>
    </row>
    <row r="25" spans="1:6" ht="12.75">
      <c r="A25" t="e">
        <f>IF(ISBLANK(#REF!),"",#REF!)</f>
        <v>#REF!</v>
      </c>
      <c r="C25">
        <v>0.5</v>
      </c>
      <c r="D25" t="e">
        <f>IF(OR($A$25&lt;$B$6,$A$25&gt;$B$8),$A$25,#N/A)</f>
        <v>#REF!</v>
      </c>
      <c r="E25" t="e">
        <f>IF(OR(AND($A$25&lt;$B$5,$A$25&gt;=$B$6),AND($A$25&gt;$B$7,$A$25&lt;=$B$8)),$A$25,#N/A)</f>
        <v>#REF!</v>
      </c>
      <c r="F25" t="e">
        <f>IF(OR(AND($A$25&lt;$B$2,$A$25&gt;=$B$5),AND($A$25&gt;$B$4,$A$25&lt;=$B$7)),$A$25,"")</f>
        <v>#REF!</v>
      </c>
    </row>
    <row r="26" spans="1:6" ht="12.75">
      <c r="A26" t="e">
        <f>IF(ISBLANK(#REF!),"",#REF!)</f>
        <v>#REF!</v>
      </c>
      <c r="C26">
        <v>0.5</v>
      </c>
      <c r="D26" t="e">
        <f>IF(OR($A$26&lt;$B$6,$A$26&gt;$B$8),$A$26,#N/A)</f>
        <v>#REF!</v>
      </c>
      <c r="E26" t="e">
        <f>IF(OR(AND($A$26&lt;$B$5,$A$26&gt;=$B$6),AND($A$26&gt;$B$7,$A$26&lt;=$B$8)),$A$26,#N/A)</f>
        <v>#REF!</v>
      </c>
      <c r="F26" t="e">
        <f>IF(OR(AND($A$26&lt;$B$2,$A$26&gt;=$B$5),AND($A$26&gt;$B$4,$A$26&lt;=$B$7)),$A$26,"")</f>
        <v>#REF!</v>
      </c>
    </row>
    <row r="27" spans="1:6" ht="12.75">
      <c r="A27" t="e">
        <f>IF(ISBLANK(#REF!),"",#REF!)</f>
        <v>#REF!</v>
      </c>
      <c r="C27">
        <v>0.5</v>
      </c>
      <c r="D27" t="e">
        <f>IF(OR($A$27&lt;$B$6,$A$27&gt;$B$8),$A$27,#N/A)</f>
        <v>#REF!</v>
      </c>
      <c r="E27" t="e">
        <f>IF(OR(AND($A$27&lt;$B$5,$A$27&gt;=$B$6),AND($A$27&gt;$B$7,$A$27&lt;=$B$8)),$A$27,#N/A)</f>
        <v>#REF!</v>
      </c>
      <c r="F27" t="e">
        <f>IF(OR(AND($A$27&lt;$B$2,$A$27&gt;=$B$5),AND($A$27&gt;$B$4,$A$27&lt;=$B$7)),$A$27,"")</f>
        <v>#REF!</v>
      </c>
    </row>
    <row r="28" spans="1:6" ht="12.75">
      <c r="A28" t="e">
        <f>IF(ISBLANK(#REF!),"",#REF!)</f>
        <v>#REF!</v>
      </c>
      <c r="C28">
        <v>0.5</v>
      </c>
      <c r="D28" t="e">
        <f>IF(OR($A$28&lt;$B$6,$A$28&gt;$B$8),$A$28,#N/A)</f>
        <v>#REF!</v>
      </c>
      <c r="E28" t="e">
        <f>IF(OR(AND($A$28&lt;$B$5,$A$28&gt;=$B$6),AND($A$28&gt;$B$7,$A$28&lt;=$B$8)),$A$28,#N/A)</f>
        <v>#REF!</v>
      </c>
      <c r="F28" t="e">
        <f>IF(OR(AND($A$28&lt;$B$2,$A$28&gt;=$B$5),AND($A$28&gt;$B$4,$A$28&lt;=$B$7)),$A$28,"")</f>
        <v>#REF!</v>
      </c>
    </row>
    <row r="29" spans="1:6" ht="12.75">
      <c r="A29" t="e">
        <f>IF(ISBLANK(#REF!),"",#REF!)</f>
        <v>#REF!</v>
      </c>
      <c r="C29">
        <v>0.5</v>
      </c>
      <c r="D29" t="e">
        <f>IF(OR($A$29&lt;$B$6,$A$29&gt;$B$8),$A$29,#N/A)</f>
        <v>#REF!</v>
      </c>
      <c r="E29" t="e">
        <f>IF(OR(AND($A$29&lt;$B$5,$A$29&gt;=$B$6),AND($A$29&gt;$B$7,$A$29&lt;=$B$8)),$A$29,#N/A)</f>
        <v>#REF!</v>
      </c>
      <c r="F29" t="e">
        <f>IF(OR(AND($A$29&lt;$B$2,$A$29&gt;=$B$5),AND($A$29&gt;$B$4,$A$29&lt;=$B$7)),$A$29,"")</f>
        <v>#REF!</v>
      </c>
    </row>
    <row r="30" spans="1:6" ht="12.75">
      <c r="A30" t="e">
        <f>IF(ISBLANK(#REF!),"",#REF!)</f>
        <v>#REF!</v>
      </c>
      <c r="C30">
        <v>0.5</v>
      </c>
      <c r="D30" t="e">
        <f>IF(OR($A$30&lt;$B$6,$A$30&gt;$B$8),$A$30,#N/A)</f>
        <v>#REF!</v>
      </c>
      <c r="E30" t="e">
        <f>IF(OR(AND($A$30&lt;$B$5,$A$30&gt;=$B$6),AND($A$30&gt;$B$7,$A$30&lt;=$B$8)),$A$30,#N/A)</f>
        <v>#REF!</v>
      </c>
      <c r="F30" t="e">
        <f>IF(OR(AND($A$30&lt;$B$2,$A$30&gt;=$B$5),AND($A$30&gt;$B$4,$A$30&lt;=$B$7)),$A$30,"")</f>
        <v>#REF!</v>
      </c>
    </row>
    <row r="31" spans="1:6" ht="12.75">
      <c r="A31" t="e">
        <f>IF(ISBLANK(#REF!),"",#REF!)</f>
        <v>#REF!</v>
      </c>
      <c r="C31">
        <v>0.5</v>
      </c>
      <c r="D31" t="e">
        <f>IF(OR($A$31&lt;$B$6,$A$31&gt;$B$8),$A$31,#N/A)</f>
        <v>#REF!</v>
      </c>
      <c r="E31" t="e">
        <f>IF(OR(AND($A$31&lt;$B$5,$A$31&gt;=$B$6),AND($A$31&gt;$B$7,$A$31&lt;=$B$8)),$A$31,#N/A)</f>
        <v>#REF!</v>
      </c>
      <c r="F31" t="e">
        <f>IF(OR(AND($A$31&lt;$B$2,$A$31&gt;=$B$5),AND($A$31&gt;$B$4,$A$31&lt;=$B$7)),$A$31,"")</f>
        <v>#REF!</v>
      </c>
    </row>
    <row r="32" spans="1:6" ht="12.75">
      <c r="A32" t="e">
        <f>IF(ISBLANK(#REF!),"",#REF!)</f>
        <v>#REF!</v>
      </c>
      <c r="C32">
        <v>0.5</v>
      </c>
      <c r="D32" t="e">
        <f>IF(OR($A$32&lt;$B$6,$A$32&gt;$B$8),$A$32,#N/A)</f>
        <v>#REF!</v>
      </c>
      <c r="E32" t="e">
        <f>IF(OR(AND($A$32&lt;$B$5,$A$32&gt;=$B$6),AND($A$32&gt;$B$7,$A$32&lt;=$B$8)),$A$32,#N/A)</f>
        <v>#REF!</v>
      </c>
      <c r="F32" t="e">
        <f>IF(OR(AND($A$32&lt;$B$2,$A$32&gt;=$B$5),AND($A$32&gt;$B$4,$A$32&lt;=$B$7)),$A$32,"")</f>
        <v>#REF!</v>
      </c>
    </row>
    <row r="33" spans="1:6" ht="12.75">
      <c r="A33" t="e">
        <f>IF(ISBLANK(#REF!),"",#REF!)</f>
        <v>#REF!</v>
      </c>
      <c r="C33">
        <v>0.5</v>
      </c>
      <c r="D33" t="e">
        <f>IF(OR($A$33&lt;$B$6,$A$33&gt;$B$8),$A$33,#N/A)</f>
        <v>#REF!</v>
      </c>
      <c r="E33" t="e">
        <f>IF(OR(AND($A$33&lt;$B$5,$A$33&gt;=$B$6),AND($A$33&gt;$B$7,$A$33&lt;=$B$8)),$A$33,#N/A)</f>
        <v>#REF!</v>
      </c>
      <c r="F33" t="e">
        <f>IF(OR(AND($A$33&lt;$B$2,$A$33&gt;=$B$5),AND($A$33&gt;$B$4,$A$33&lt;=$B$7)),$A$33,"")</f>
        <v>#REF!</v>
      </c>
    </row>
    <row r="34" spans="1:6" ht="12.75">
      <c r="A34" t="e">
        <f>IF(ISBLANK(#REF!),"",#REF!)</f>
        <v>#REF!</v>
      </c>
      <c r="C34">
        <v>0.5</v>
      </c>
      <c r="D34" t="e">
        <f>IF(OR($A$34&lt;$B$6,$A$34&gt;$B$8),$A$34,#N/A)</f>
        <v>#REF!</v>
      </c>
      <c r="E34" t="e">
        <f>IF(OR(AND($A$34&lt;$B$5,$A$34&gt;=$B$6),AND($A$34&gt;$B$7,$A$34&lt;=$B$8)),$A$34,#N/A)</f>
        <v>#REF!</v>
      </c>
      <c r="F34" t="e">
        <f>IF(OR(AND($A$34&lt;$B$2,$A$34&gt;=$B$5),AND($A$34&gt;$B$4,$A$34&lt;=$B$7)),$A$34,"")</f>
        <v>#REF!</v>
      </c>
    </row>
    <row r="35" spans="1:6" ht="12.75">
      <c r="A35" t="e">
        <f>IF(ISBLANK(#REF!),"",#REF!)</f>
        <v>#REF!</v>
      </c>
      <c r="C35">
        <v>0.5</v>
      </c>
      <c r="D35" t="e">
        <f>IF(OR($A$35&lt;$B$6,$A$35&gt;$B$8),$A$35,#N/A)</f>
        <v>#REF!</v>
      </c>
      <c r="E35" t="e">
        <f>IF(OR(AND($A$35&lt;$B$5,$A$35&gt;=$B$6),AND($A$35&gt;$B$7,$A$35&lt;=$B$8)),$A$35,#N/A)</f>
        <v>#REF!</v>
      </c>
      <c r="F35" t="e">
        <f>IF(OR(AND($A$35&lt;$B$2,$A$35&gt;=$B$5),AND($A$35&gt;$B$4,$A$35&lt;=$B$7)),$A$35,"")</f>
        <v>#REF!</v>
      </c>
    </row>
    <row r="36" spans="1:6" ht="12.75">
      <c r="A36" t="e">
        <f>IF(ISBLANK(#REF!),"",#REF!)</f>
        <v>#REF!</v>
      </c>
      <c r="C36">
        <v>0.5</v>
      </c>
      <c r="D36" t="e">
        <f>IF(OR($A$36&lt;$B$6,$A$36&gt;$B$8),$A$36,#N/A)</f>
        <v>#REF!</v>
      </c>
      <c r="E36" t="e">
        <f>IF(OR(AND($A$36&lt;$B$5,$A$36&gt;=$B$6),AND($A$36&gt;$B$7,$A$36&lt;=$B$8)),$A$36,#N/A)</f>
        <v>#REF!</v>
      </c>
      <c r="F36" t="e">
        <f>IF(OR(AND($A$36&lt;$B$2,$A$36&gt;=$B$5),AND($A$36&gt;$B$4,$A$36&lt;=$B$7)),$A$36,"")</f>
        <v>#REF!</v>
      </c>
    </row>
    <row r="37" spans="1:6" ht="12.75">
      <c r="A37" t="e">
        <f>IF(ISBLANK(#REF!),"",#REF!)</f>
        <v>#REF!</v>
      </c>
      <c r="C37">
        <v>0.5</v>
      </c>
      <c r="D37" t="e">
        <f>IF(OR($A$37&lt;$B$6,$A$37&gt;$B$8),$A$37,#N/A)</f>
        <v>#REF!</v>
      </c>
      <c r="E37" t="e">
        <f>IF(OR(AND($A$37&lt;$B$5,$A$37&gt;=$B$6),AND($A$37&gt;$B$7,$A$37&lt;=$B$8)),$A$37,#N/A)</f>
        <v>#REF!</v>
      </c>
      <c r="F37" t="e">
        <f>IF(OR(AND($A$37&lt;$B$2,$A$37&gt;=$B$5),AND($A$37&gt;$B$4,$A$37&lt;=$B$7)),$A$37,"")</f>
        <v>#REF!</v>
      </c>
    </row>
    <row r="38" spans="1:6" ht="12.75">
      <c r="A38" t="e">
        <f>IF(ISBLANK(#REF!),"",#REF!)</f>
        <v>#REF!</v>
      </c>
      <c r="C38">
        <v>0.5</v>
      </c>
      <c r="D38" t="e">
        <f>IF(OR($A$38&lt;$B$6,$A$38&gt;$B$8),$A$38,#N/A)</f>
        <v>#REF!</v>
      </c>
      <c r="E38" t="e">
        <f>IF(OR(AND($A$38&lt;$B$5,$A$38&gt;=$B$6),AND($A$38&gt;$B$7,$A$38&lt;=$B$8)),$A$38,#N/A)</f>
        <v>#REF!</v>
      </c>
      <c r="F38" t="e">
        <f>IF(OR(AND($A$38&lt;$B$2,$A$38&gt;=$B$5),AND($A$38&gt;$B$4,$A$38&lt;=$B$7)),$A$38,"")</f>
        <v>#REF!</v>
      </c>
    </row>
    <row r="39" spans="1:6" ht="12.75">
      <c r="A39" t="e">
        <f>IF(ISBLANK(#REF!),"",#REF!)</f>
        <v>#REF!</v>
      </c>
      <c r="C39">
        <v>0.5</v>
      </c>
      <c r="D39" t="e">
        <f>IF(OR($A$39&lt;$B$6,$A$39&gt;$B$8),$A$39,#N/A)</f>
        <v>#REF!</v>
      </c>
      <c r="E39" t="e">
        <f>IF(OR(AND($A$39&lt;$B$5,$A$39&gt;=$B$6),AND($A$39&gt;$B$7,$A$39&lt;=$B$8)),$A$39,#N/A)</f>
        <v>#REF!</v>
      </c>
      <c r="F39" t="e">
        <f>IF(OR(AND($A$39&lt;$B$2,$A$39&gt;=$B$5),AND($A$39&gt;$B$4,$A$39&lt;=$B$7)),$A$39,"")</f>
        <v>#REF!</v>
      </c>
    </row>
    <row r="40" spans="1:6" ht="12.75">
      <c r="A40" t="e">
        <f>IF(ISBLANK(#REF!),"",#REF!)</f>
        <v>#REF!</v>
      </c>
      <c r="C40">
        <v>0.5</v>
      </c>
      <c r="D40" t="e">
        <f>IF(OR($A$40&lt;$B$6,$A$40&gt;$B$8),$A$40,#N/A)</f>
        <v>#REF!</v>
      </c>
      <c r="E40" t="e">
        <f>IF(OR(AND($A$40&lt;$B$5,$A$40&gt;=$B$6),AND($A$40&gt;$B$7,$A$40&lt;=$B$8)),$A$40,#N/A)</f>
        <v>#REF!</v>
      </c>
      <c r="F40" t="e">
        <f>IF(OR(AND($A$40&lt;$B$2,$A$40&gt;=$B$5),AND($A$40&gt;$B$4,$A$40&lt;=$B$7)),$A$40,"")</f>
        <v>#REF!</v>
      </c>
    </row>
    <row r="41" spans="1:6" ht="12.75">
      <c r="A41" t="e">
        <f>IF(ISBLANK(#REF!),"",#REF!)</f>
        <v>#REF!</v>
      </c>
      <c r="C41">
        <v>0.5</v>
      </c>
      <c r="D41" t="e">
        <f>IF(OR($A$41&lt;$B$6,$A$41&gt;$B$8),$A$41,#N/A)</f>
        <v>#REF!</v>
      </c>
      <c r="E41" t="e">
        <f>IF(OR(AND($A$41&lt;$B$5,$A$41&gt;=$B$6),AND($A$41&gt;$B$7,$A$41&lt;=$B$8)),$A$41,#N/A)</f>
        <v>#REF!</v>
      </c>
      <c r="F41" t="e">
        <f>IF(OR(AND($A$41&lt;$B$2,$A$41&gt;=$B$5),AND($A$41&gt;$B$4,$A$41&lt;=$B$7)),$A$41,"")</f>
        <v>#REF!</v>
      </c>
    </row>
    <row r="42" spans="1:6" ht="12.75">
      <c r="A42" t="e">
        <f>IF(ISBLANK(#REF!),"",#REF!)</f>
        <v>#REF!</v>
      </c>
      <c r="C42">
        <v>0.5</v>
      </c>
      <c r="D42" t="e">
        <f>IF(OR($A$42&lt;$B$6,$A$42&gt;$B$8),$A$42,#N/A)</f>
        <v>#REF!</v>
      </c>
      <c r="E42" t="e">
        <f>IF(OR(AND($A$42&lt;$B$5,$A$42&gt;=$B$6),AND($A$42&gt;$B$7,$A$42&lt;=$B$8)),$A$42,#N/A)</f>
        <v>#REF!</v>
      </c>
      <c r="F42" t="e">
        <f>IF(OR(AND($A$42&lt;$B$2,$A$42&gt;=$B$5),AND($A$42&gt;$B$4,$A$42&lt;=$B$7)),$A$42,"")</f>
        <v>#REF!</v>
      </c>
    </row>
    <row r="43" spans="1:6" ht="12.75">
      <c r="A43" t="e">
        <f>IF(ISBLANK(#REF!),"",#REF!)</f>
        <v>#REF!</v>
      </c>
      <c r="C43">
        <v>0.5</v>
      </c>
      <c r="D43" t="e">
        <f>IF(OR($A$43&lt;$B$6,$A$43&gt;$B$8),$A$43,#N/A)</f>
        <v>#REF!</v>
      </c>
      <c r="E43" t="e">
        <f>IF(OR(AND($A$43&lt;$B$5,$A$43&gt;=$B$6),AND($A$43&gt;$B$7,$A$43&lt;=$B$8)),$A$43,#N/A)</f>
        <v>#REF!</v>
      </c>
      <c r="F43" t="e">
        <f>IF(OR(AND($A$43&lt;$B$2,$A$43&gt;=$B$5),AND($A$43&gt;$B$4,$A$43&lt;=$B$7)),$A$43,"")</f>
        <v>#REF!</v>
      </c>
    </row>
    <row r="44" spans="1:6" ht="12.75">
      <c r="A44" t="e">
        <f>IF(ISBLANK(#REF!),"",#REF!)</f>
        <v>#REF!</v>
      </c>
      <c r="C44">
        <v>0.5</v>
      </c>
      <c r="D44" t="e">
        <f>IF(OR($A$44&lt;$B$6,$A$44&gt;$B$8),$A$44,#N/A)</f>
        <v>#REF!</v>
      </c>
      <c r="E44" t="e">
        <f>IF(OR(AND($A$44&lt;$B$5,$A$44&gt;=$B$6),AND($A$44&gt;$B$7,$A$44&lt;=$B$8)),$A$44,#N/A)</f>
        <v>#REF!</v>
      </c>
      <c r="F44" t="e">
        <f>IF(OR(AND($A$44&lt;$B$2,$A$44&gt;=$B$5),AND($A$44&gt;$B$4,$A$44&lt;=$B$7)),$A$44,"")</f>
        <v>#REF!</v>
      </c>
    </row>
    <row r="45" spans="1:6" ht="12.75">
      <c r="A45" t="e">
        <f>IF(ISBLANK(#REF!),"",#REF!)</f>
        <v>#REF!</v>
      </c>
      <c r="C45">
        <v>0.5</v>
      </c>
      <c r="D45" t="e">
        <f>IF(OR($A$45&lt;$B$6,$A$45&gt;$B$8),$A$45,#N/A)</f>
        <v>#REF!</v>
      </c>
      <c r="E45" t="e">
        <f>IF(OR(AND($A$45&lt;$B$5,$A$45&gt;=$B$6),AND($A$45&gt;$B$7,$A$45&lt;=$B$8)),$A$45,#N/A)</f>
        <v>#REF!</v>
      </c>
      <c r="F45" t="e">
        <f>IF(OR(AND($A$45&lt;$B$2,$A$45&gt;=$B$5),AND($A$45&gt;$B$4,$A$45&lt;=$B$7)),$A$45,"")</f>
        <v>#REF!</v>
      </c>
    </row>
    <row r="46" spans="1:6" ht="12.75">
      <c r="A46" t="e">
        <f>IF(ISBLANK(#REF!),"",#REF!)</f>
        <v>#REF!</v>
      </c>
      <c r="C46">
        <v>0.5</v>
      </c>
      <c r="D46" t="e">
        <f>IF(OR($A$46&lt;$B$6,$A$46&gt;$B$8),$A$46,#N/A)</f>
        <v>#REF!</v>
      </c>
      <c r="E46" t="e">
        <f>IF(OR(AND($A$46&lt;$B$5,$A$46&gt;=$B$6),AND($A$46&gt;$B$7,$A$46&lt;=$B$8)),$A$46,#N/A)</f>
        <v>#REF!</v>
      </c>
      <c r="F46" t="e">
        <f>IF(OR(AND($A$46&lt;$B$2,$A$46&gt;=$B$5),AND($A$46&gt;$B$4,$A$46&lt;=$B$7)),$A$46,"")</f>
        <v>#REF!</v>
      </c>
    </row>
    <row r="47" spans="1:6" ht="12.75">
      <c r="A47" t="e">
        <f>IF(ISBLANK(#REF!),"",#REF!)</f>
        <v>#REF!</v>
      </c>
      <c r="C47">
        <v>0.5</v>
      </c>
      <c r="D47" t="e">
        <f>IF(OR($A$47&lt;$B$6,$A$47&gt;$B$8),$A$47,#N/A)</f>
        <v>#REF!</v>
      </c>
      <c r="E47" t="e">
        <f>IF(OR(AND($A$47&lt;$B$5,$A$47&gt;=$B$6),AND($A$47&gt;$B$7,$A$47&lt;=$B$8)),$A$47,#N/A)</f>
        <v>#REF!</v>
      </c>
      <c r="F47" t="e">
        <f>IF(OR(AND($A$47&lt;$B$2,$A$47&gt;=$B$5),AND($A$47&gt;$B$4,$A$47&lt;=$B$7)),$A$47,"")</f>
        <v>#REF!</v>
      </c>
    </row>
    <row r="48" spans="1:6" ht="12.75">
      <c r="A48" t="e">
        <f>IF(ISBLANK(#REF!),"",#REF!)</f>
        <v>#REF!</v>
      </c>
      <c r="C48">
        <v>0.5</v>
      </c>
      <c r="D48" t="e">
        <f>IF(OR($A$48&lt;$B$6,$A$48&gt;$B$8),$A$48,#N/A)</f>
        <v>#REF!</v>
      </c>
      <c r="E48" t="e">
        <f>IF(OR(AND($A$48&lt;$B$5,$A$48&gt;=$B$6),AND($A$48&gt;$B$7,$A$48&lt;=$B$8)),$A$48,#N/A)</f>
        <v>#REF!</v>
      </c>
      <c r="F48" t="e">
        <f>IF(OR(AND($A$48&lt;$B$2,$A$48&gt;=$B$5),AND($A$48&gt;$B$4,$A$48&lt;=$B$7)),$A$48,"")</f>
        <v>#REF!</v>
      </c>
    </row>
    <row r="49" spans="1:6" ht="12.75">
      <c r="A49" t="e">
        <f>IF(ISBLANK(#REF!),"",#REF!)</f>
        <v>#REF!</v>
      </c>
      <c r="C49">
        <v>0.5</v>
      </c>
      <c r="D49" t="e">
        <f>IF(OR($A$49&lt;$B$6,$A$49&gt;$B$8),$A$49,#N/A)</f>
        <v>#REF!</v>
      </c>
      <c r="E49" t="e">
        <f>IF(OR(AND($A$49&lt;$B$5,$A$49&gt;=$B$6),AND($A$49&gt;$B$7,$A$49&lt;=$B$8)),$A$49,#N/A)</f>
        <v>#REF!</v>
      </c>
      <c r="F49" t="e">
        <f>IF(OR(AND($A$49&lt;$B$2,$A$49&gt;=$B$5),AND($A$49&gt;$B$4,$A$49&lt;=$B$7)),$A$49,"")</f>
        <v>#REF!</v>
      </c>
    </row>
    <row r="50" spans="1:6" ht="12.75">
      <c r="A50" t="e">
        <f>IF(ISBLANK(#REF!),"",#REF!)</f>
        <v>#REF!</v>
      </c>
      <c r="C50">
        <v>0.5</v>
      </c>
      <c r="D50" t="e">
        <f>IF(OR($A$50&lt;$B$6,$A$50&gt;$B$8),$A$50,#N/A)</f>
        <v>#REF!</v>
      </c>
      <c r="E50" t="e">
        <f>IF(OR(AND($A$50&lt;$B$5,$A$50&gt;=$B$6),AND($A$50&gt;$B$7,$A$50&lt;=$B$8)),$A$50,#N/A)</f>
        <v>#REF!</v>
      </c>
      <c r="F50" t="e">
        <f>IF(OR(AND($A$50&lt;$B$2,$A$50&gt;=$B$5),AND($A$50&gt;$B$4,$A$50&lt;=$B$7)),$A$50,"")</f>
        <v>#REF!</v>
      </c>
    </row>
    <row r="51" spans="1:6" ht="12.75">
      <c r="A51" t="e">
        <f>IF(ISBLANK(#REF!),"",#REF!)</f>
        <v>#REF!</v>
      </c>
      <c r="C51">
        <v>0.5</v>
      </c>
      <c r="D51" t="e">
        <f>IF(OR($A$51&lt;$B$6,$A$51&gt;$B$8),$A$51,#N/A)</f>
        <v>#REF!</v>
      </c>
      <c r="E51" t="e">
        <f>IF(OR(AND($A$51&lt;$B$5,$A$51&gt;=$B$6),AND($A$51&gt;$B$7,$A$51&lt;=$B$8)),$A$51,#N/A)</f>
        <v>#REF!</v>
      </c>
      <c r="F51" t="e">
        <f>IF(OR(AND($A$51&lt;$B$2,$A$51&gt;=$B$5),AND($A$51&gt;$B$4,$A$51&lt;=$B$7)),$A$51,"")</f>
        <v>#REF!</v>
      </c>
    </row>
    <row r="52" spans="1:6" ht="12.75">
      <c r="A52" t="e">
        <f>IF(ISBLANK(#REF!),"",#REF!)</f>
        <v>#REF!</v>
      </c>
      <c r="C52">
        <v>0.5</v>
      </c>
      <c r="D52" t="e">
        <f>IF(OR($A$52&lt;$B$6,$A$52&gt;$B$8),$A$52,#N/A)</f>
        <v>#REF!</v>
      </c>
      <c r="E52" t="e">
        <f>IF(OR(AND($A$52&lt;$B$5,$A$52&gt;=$B$6),AND($A$52&gt;$B$7,$A$52&lt;=$B$8)),$A$52,#N/A)</f>
        <v>#REF!</v>
      </c>
      <c r="F52" t="e">
        <f>IF(OR(AND($A$52&lt;$B$2,$A$52&gt;=$B$5),AND($A$52&gt;$B$4,$A$52&lt;=$B$7)),$A$52,"")</f>
        <v>#REF!</v>
      </c>
    </row>
    <row r="53" spans="1:6" ht="12.75">
      <c r="A53" t="e">
        <f>IF(ISBLANK(#REF!),"",#REF!)</f>
        <v>#REF!</v>
      </c>
      <c r="C53">
        <v>0.5</v>
      </c>
      <c r="D53" t="e">
        <f>IF(OR($A$53&lt;$B$6,$A$53&gt;$B$8),$A$53,#N/A)</f>
        <v>#REF!</v>
      </c>
      <c r="E53" t="e">
        <f>IF(OR(AND($A$53&lt;$B$5,$A$53&gt;=$B$6),AND($A$53&gt;$B$7,$A$53&lt;=$B$8)),$A$53,#N/A)</f>
        <v>#REF!</v>
      </c>
      <c r="F53" t="e">
        <f>IF(OR(AND($A$53&lt;$B$2,$A$53&gt;=$B$5),AND($A$53&gt;$B$4,$A$53&lt;=$B$7)),$A$53,"")</f>
        <v>#REF!</v>
      </c>
    </row>
    <row r="54" spans="1:6" ht="12.75">
      <c r="A54" t="e">
        <f>IF(ISBLANK(#REF!),"",#REF!)</f>
        <v>#REF!</v>
      </c>
      <c r="C54">
        <v>0.5</v>
      </c>
      <c r="D54" t="e">
        <f>IF(OR($A$54&lt;$B$6,$A$54&gt;$B$8),$A$54,#N/A)</f>
        <v>#REF!</v>
      </c>
      <c r="E54" t="e">
        <f>IF(OR(AND($A$54&lt;$B$5,$A$54&gt;=$B$6),AND($A$54&gt;$B$7,$A$54&lt;=$B$8)),$A$54,#N/A)</f>
        <v>#REF!</v>
      </c>
      <c r="F54" t="e">
        <f>IF(OR(AND($A$54&lt;$B$2,$A$54&gt;=$B$5),AND($A$54&gt;$B$4,$A$54&lt;=$B$7)),$A$54,"")</f>
        <v>#REF!</v>
      </c>
    </row>
    <row r="55" spans="1:6" ht="12.75">
      <c r="A55" t="e">
        <f>IF(ISBLANK(#REF!),"",#REF!)</f>
        <v>#REF!</v>
      </c>
      <c r="C55">
        <v>0.5</v>
      </c>
      <c r="D55" t="e">
        <f>IF(OR($A$55&lt;$B$6,$A$55&gt;$B$8),$A$55,#N/A)</f>
        <v>#REF!</v>
      </c>
      <c r="E55" t="e">
        <f>IF(OR(AND($A$55&lt;$B$5,$A$55&gt;=$B$6),AND($A$55&gt;$B$7,$A$55&lt;=$B$8)),$A$55,#N/A)</f>
        <v>#REF!</v>
      </c>
      <c r="F55" t="e">
        <f>IF(OR(AND($A$55&lt;$B$2,$A$55&gt;=$B$5),AND($A$55&gt;$B$4,$A$55&lt;=$B$7)),$A$55,"")</f>
        <v>#REF!</v>
      </c>
    </row>
    <row r="56" spans="1:6" ht="12.75">
      <c r="A56" t="e">
        <f>IF(ISBLANK(#REF!),"",#REF!)</f>
        <v>#REF!</v>
      </c>
      <c r="C56">
        <v>0.5</v>
      </c>
      <c r="D56" t="e">
        <f>IF(OR($A$56&lt;$B$6,$A$56&gt;$B$8),$A$56,#N/A)</f>
        <v>#REF!</v>
      </c>
      <c r="E56" t="e">
        <f>IF(OR(AND($A$56&lt;$B$5,$A$56&gt;=$B$6),AND($A$56&gt;$B$7,$A$56&lt;=$B$8)),$A$56,#N/A)</f>
        <v>#REF!</v>
      </c>
      <c r="F56" t="e">
        <f>IF(OR(AND($A$56&lt;$B$2,$A$56&gt;=$B$5),AND($A$56&gt;$B$4,$A$56&lt;=$B$7)),$A$56,"")</f>
        <v>#REF!</v>
      </c>
    </row>
    <row r="57" spans="1:6" ht="12.75">
      <c r="A57" t="e">
        <f>IF(ISBLANK(#REF!),"",#REF!)</f>
        <v>#REF!</v>
      </c>
      <c r="C57">
        <v>0.5</v>
      </c>
      <c r="D57" t="e">
        <f>IF(OR($A$57&lt;$B$6,$A$57&gt;$B$8),$A$57,#N/A)</f>
        <v>#REF!</v>
      </c>
      <c r="E57" t="e">
        <f>IF(OR(AND($A$57&lt;$B$5,$A$57&gt;=$B$6),AND($A$57&gt;$B$7,$A$57&lt;=$B$8)),$A$57,#N/A)</f>
        <v>#REF!</v>
      </c>
      <c r="F57" t="e">
        <f>IF(OR(AND($A$57&lt;$B$2,$A$57&gt;=$B$5),AND($A$57&gt;$B$4,$A$57&lt;=$B$7)),$A$57,"")</f>
        <v>#REF!</v>
      </c>
    </row>
    <row r="58" spans="1:6" ht="12.75">
      <c r="A58" t="e">
        <f>IF(ISBLANK(#REF!),"",#REF!)</f>
        <v>#REF!</v>
      </c>
      <c r="C58">
        <v>0.5</v>
      </c>
      <c r="D58" t="e">
        <f>IF(OR($A$58&lt;$B$6,$A$58&gt;$B$8),$A$58,#N/A)</f>
        <v>#REF!</v>
      </c>
      <c r="E58" t="e">
        <f>IF(OR(AND($A$58&lt;$B$5,$A$58&gt;=$B$6),AND($A$58&gt;$B$7,$A$58&lt;=$B$8)),$A$58,#N/A)</f>
        <v>#REF!</v>
      </c>
      <c r="F58" t="e">
        <f>IF(OR(AND($A$58&lt;$B$2,$A$58&gt;=$B$5),AND($A$58&gt;$B$4,$A$58&lt;=$B$7)),$A$58,"")</f>
        <v>#REF!</v>
      </c>
    </row>
    <row r="59" spans="1:6" ht="12.75">
      <c r="A59" t="e">
        <f>IF(ISBLANK(#REF!),"",#REF!)</f>
        <v>#REF!</v>
      </c>
      <c r="C59">
        <v>0.5</v>
      </c>
      <c r="D59" t="e">
        <f>IF(OR($A$59&lt;$B$6,$A$59&gt;$B$8),$A$59,#N/A)</f>
        <v>#REF!</v>
      </c>
      <c r="E59" t="e">
        <f>IF(OR(AND($A$59&lt;$B$5,$A$59&gt;=$B$6),AND($A$59&gt;$B$7,$A$59&lt;=$B$8)),$A$59,#N/A)</f>
        <v>#REF!</v>
      </c>
      <c r="F59" t="e">
        <f>IF(OR(AND($A$59&lt;$B$2,$A$59&gt;=$B$5),AND($A$59&gt;$B$4,$A$59&lt;=$B$7)),$A$59,"")</f>
        <v>#REF!</v>
      </c>
    </row>
    <row r="60" spans="1:6" ht="12.75">
      <c r="A60" t="e">
        <f>IF(ISBLANK(#REF!),"",#REF!)</f>
        <v>#REF!</v>
      </c>
      <c r="C60">
        <v>0.5</v>
      </c>
      <c r="D60" t="e">
        <f>IF(OR($A$60&lt;$B$6,$A$60&gt;$B$8),$A$60,#N/A)</f>
        <v>#REF!</v>
      </c>
      <c r="E60" t="e">
        <f>IF(OR(AND($A$60&lt;$B$5,$A$60&gt;=$B$6),AND($A$60&gt;$B$7,$A$60&lt;=$B$8)),$A$60,#N/A)</f>
        <v>#REF!</v>
      </c>
      <c r="F60" t="e">
        <f>IF(OR(AND($A$60&lt;$B$2,$A$60&gt;=$B$5),AND($A$60&gt;$B$4,$A$60&lt;=$B$7)),$A$60,"")</f>
        <v>#REF!</v>
      </c>
    </row>
    <row r="61" spans="1:6" ht="12.75">
      <c r="A61" t="e">
        <f>IF(ISBLANK(#REF!),"",#REF!)</f>
        <v>#REF!</v>
      </c>
      <c r="C61">
        <v>0.5</v>
      </c>
      <c r="D61" t="e">
        <f>IF(OR($A$61&lt;$B$6,$A$61&gt;$B$8),$A$61,#N/A)</f>
        <v>#REF!</v>
      </c>
      <c r="E61" t="e">
        <f>IF(OR(AND($A$61&lt;$B$5,$A$61&gt;=$B$6),AND($A$61&gt;$B$7,$A$61&lt;=$B$8)),$A$61,#N/A)</f>
        <v>#REF!</v>
      </c>
      <c r="F61" t="e">
        <f>IF(OR(AND($A$61&lt;$B$2,$A$61&gt;=$B$5),AND($A$61&gt;$B$4,$A$61&lt;=$B$7)),$A$61,"")</f>
        <v>#REF!</v>
      </c>
    </row>
    <row r="62" spans="1:6" ht="12.75">
      <c r="A62" t="e">
        <f>IF(ISBLANK(#REF!),"",#REF!)</f>
        <v>#REF!</v>
      </c>
      <c r="C62">
        <v>0.5</v>
      </c>
      <c r="D62" t="e">
        <f>IF(OR($A$62&lt;$B$6,$A$62&gt;$B$8),$A$62,#N/A)</f>
        <v>#REF!</v>
      </c>
      <c r="E62" t="e">
        <f>IF(OR(AND($A$62&lt;$B$5,$A$62&gt;=$B$6),AND($A$62&gt;$B$7,$A$62&lt;=$B$8)),$A$62,#N/A)</f>
        <v>#REF!</v>
      </c>
      <c r="F62" t="e">
        <f>IF(OR(AND($A$62&lt;$B$2,$A$62&gt;=$B$5),AND($A$62&gt;$B$4,$A$62&lt;=$B$7)),$A$62,"")</f>
        <v>#REF!</v>
      </c>
    </row>
    <row r="63" spans="1:6" ht="12.75">
      <c r="A63" t="e">
        <f>IF(ISBLANK(#REF!),"",#REF!)</f>
        <v>#REF!</v>
      </c>
      <c r="C63">
        <v>0.5</v>
      </c>
      <c r="D63" t="e">
        <f>IF(OR($A$63&lt;$B$6,$A$63&gt;$B$8),$A$63,#N/A)</f>
        <v>#REF!</v>
      </c>
      <c r="E63" t="e">
        <f>IF(OR(AND($A$63&lt;$B$5,$A$63&gt;=$B$6),AND($A$63&gt;$B$7,$A$63&lt;=$B$8)),$A$63,#N/A)</f>
        <v>#REF!</v>
      </c>
      <c r="F63" t="e">
        <f>IF(OR(AND($A$63&lt;$B$2,$A$63&gt;=$B$5),AND($A$63&gt;$B$4,$A$63&lt;=$B$7)),$A$63,"")</f>
        <v>#REF!</v>
      </c>
    </row>
    <row r="64" spans="1:6" ht="12.75">
      <c r="A64" t="e">
        <f>IF(ISBLANK(#REF!),"",#REF!)</f>
        <v>#REF!</v>
      </c>
      <c r="C64">
        <v>0.5</v>
      </c>
      <c r="D64" t="e">
        <f>IF(OR($A$64&lt;$B$6,$A$64&gt;$B$8),$A$64,#N/A)</f>
        <v>#REF!</v>
      </c>
      <c r="E64" t="e">
        <f>IF(OR(AND($A$64&lt;$B$5,$A$64&gt;=$B$6),AND($A$64&gt;$B$7,$A$64&lt;=$B$8)),$A$64,#N/A)</f>
        <v>#REF!</v>
      </c>
      <c r="F64" t="e">
        <f>IF(OR(AND($A$64&lt;$B$2,$A$64&gt;=$B$5),AND($A$64&gt;$B$4,$A$64&lt;=$B$7)),$A$64,"")</f>
        <v>#REF!</v>
      </c>
    </row>
    <row r="65" spans="1:6" ht="12.75">
      <c r="A65" t="e">
        <f>IF(ISBLANK(#REF!),"",#REF!)</f>
        <v>#REF!</v>
      </c>
      <c r="C65">
        <v>0.5</v>
      </c>
      <c r="D65" t="e">
        <f>IF(OR($A$65&lt;$B$6,$A$65&gt;$B$8),$A$65,#N/A)</f>
        <v>#REF!</v>
      </c>
      <c r="E65" t="e">
        <f>IF(OR(AND($A$65&lt;$B$5,$A$65&gt;=$B$6),AND($A$65&gt;$B$7,$A$65&lt;=$B$8)),$A$65,#N/A)</f>
        <v>#REF!</v>
      </c>
      <c r="F65" t="e">
        <f>IF(OR(AND($A$65&lt;$B$2,$A$65&gt;=$B$5),AND($A$65&gt;$B$4,$A$65&lt;=$B$7)),$A$65,"")</f>
        <v>#REF!</v>
      </c>
    </row>
    <row r="66" spans="1:6" ht="12.75">
      <c r="A66" t="e">
        <f>IF(ISBLANK(#REF!),"",#REF!)</f>
        <v>#REF!</v>
      </c>
      <c r="C66">
        <v>0.5</v>
      </c>
      <c r="D66" t="e">
        <f>IF(OR($A$66&lt;$B$6,$A$66&gt;$B$8),$A$66,#N/A)</f>
        <v>#REF!</v>
      </c>
      <c r="E66" t="e">
        <f>IF(OR(AND($A$66&lt;$B$5,$A$66&gt;=$B$6),AND($A$66&gt;$B$7,$A$66&lt;=$B$8)),$A$66,#N/A)</f>
        <v>#REF!</v>
      </c>
      <c r="F66" t="e">
        <f>IF(OR(AND($A$66&lt;$B$2,$A$66&gt;=$B$5),AND($A$66&gt;$B$4,$A$66&lt;=$B$7)),$A$66,"")</f>
        <v>#REF!</v>
      </c>
    </row>
    <row r="67" spans="1:6" ht="12.75">
      <c r="A67" t="e">
        <f>IF(ISBLANK(#REF!),"",#REF!)</f>
        <v>#REF!</v>
      </c>
      <c r="C67">
        <v>0.5</v>
      </c>
      <c r="D67" t="e">
        <f>IF(OR($A$67&lt;$B$6,$A$67&gt;$B$8),$A$67,#N/A)</f>
        <v>#REF!</v>
      </c>
      <c r="E67" t="e">
        <f>IF(OR(AND($A$67&lt;$B$5,$A$67&gt;=$B$6),AND($A$67&gt;$B$7,$A$67&lt;=$B$8)),$A$67,#N/A)</f>
        <v>#REF!</v>
      </c>
      <c r="F67" t="e">
        <f>IF(OR(AND($A$67&lt;$B$2,$A$67&gt;=$B$5),AND($A$67&gt;$B$4,$A$67&lt;=$B$7)),$A$67,"")</f>
        <v>#REF!</v>
      </c>
    </row>
    <row r="68" spans="1:6" ht="12.75">
      <c r="A68" t="e">
        <f>IF(ISBLANK(#REF!),"",#REF!)</f>
        <v>#REF!</v>
      </c>
      <c r="C68">
        <v>0.5</v>
      </c>
      <c r="D68" t="e">
        <f>IF(OR($A$68&lt;$B$6,$A$68&gt;$B$8),$A$68,#N/A)</f>
        <v>#REF!</v>
      </c>
      <c r="E68" t="e">
        <f>IF(OR(AND($A$68&lt;$B$5,$A$68&gt;=$B$6),AND($A$68&gt;$B$7,$A$68&lt;=$B$8)),$A$68,#N/A)</f>
        <v>#REF!</v>
      </c>
      <c r="F68" t="e">
        <f>IF(OR(AND($A$68&lt;$B$2,$A$68&gt;=$B$5),AND($A$68&gt;$B$4,$A$68&lt;=$B$7)),$A$68,"")</f>
        <v>#REF!</v>
      </c>
    </row>
    <row r="69" spans="1:6" ht="12.75">
      <c r="A69" t="e">
        <f>IF(ISBLANK(#REF!),"",#REF!)</f>
        <v>#REF!</v>
      </c>
      <c r="C69">
        <v>0.5</v>
      </c>
      <c r="D69" t="e">
        <f>IF(OR($A$69&lt;$B$6,$A$69&gt;$B$8),$A$69,#N/A)</f>
        <v>#REF!</v>
      </c>
      <c r="E69" t="e">
        <f>IF(OR(AND($A$69&lt;$B$5,$A$69&gt;=$B$6),AND($A$69&gt;$B$7,$A$69&lt;=$B$8)),$A$69,#N/A)</f>
        <v>#REF!</v>
      </c>
      <c r="F69" t="e">
        <f>IF(OR(AND($A$69&lt;$B$2,$A$69&gt;=$B$5),AND($A$69&gt;$B$4,$A$69&lt;=$B$7)),$A$69,"")</f>
        <v>#REF!</v>
      </c>
    </row>
    <row r="70" spans="1:6" ht="12.75">
      <c r="A70" t="e">
        <f>IF(ISBLANK(#REF!),"",#REF!)</f>
        <v>#REF!</v>
      </c>
      <c r="C70">
        <v>0.5</v>
      </c>
      <c r="D70" t="e">
        <f>IF(OR($A$70&lt;$B$6,$A$70&gt;$B$8),$A$70,#N/A)</f>
        <v>#REF!</v>
      </c>
      <c r="E70" t="e">
        <f>IF(OR(AND($A$70&lt;$B$5,$A$70&gt;=$B$6),AND($A$70&gt;$B$7,$A$70&lt;=$B$8)),$A$70,#N/A)</f>
        <v>#REF!</v>
      </c>
      <c r="F70" t="e">
        <f>IF(OR(AND($A$70&lt;$B$2,$A$70&gt;=$B$5),AND($A$70&gt;$B$4,$A$70&lt;=$B$7)),$A$70,"")</f>
        <v>#REF!</v>
      </c>
    </row>
    <row r="71" spans="1:6" ht="12.75">
      <c r="A71" t="e">
        <f>IF(ISBLANK(#REF!),"",#REF!)</f>
        <v>#REF!</v>
      </c>
      <c r="C71">
        <v>0.5</v>
      </c>
      <c r="D71" t="e">
        <f>IF(OR($A$71&lt;$B$6,$A$71&gt;$B$8),$A$71,#N/A)</f>
        <v>#REF!</v>
      </c>
      <c r="E71" t="e">
        <f>IF(OR(AND($A$71&lt;$B$5,$A$71&gt;=$B$6),AND($A$71&gt;$B$7,$A$71&lt;=$B$8)),$A$71,#N/A)</f>
        <v>#REF!</v>
      </c>
      <c r="F71" t="e">
        <f>IF(OR(AND($A$71&lt;$B$2,$A$71&gt;=$B$5),AND($A$71&gt;$B$4,$A$71&lt;=$B$7)),$A$71,"")</f>
        <v>#REF!</v>
      </c>
    </row>
    <row r="72" spans="1:6" ht="12.75">
      <c r="A72" t="e">
        <f>IF(ISBLANK(#REF!),"",#REF!)</f>
        <v>#REF!</v>
      </c>
      <c r="C72">
        <v>0.5</v>
      </c>
      <c r="D72" t="e">
        <f>IF(OR($A$72&lt;$B$6,$A$72&gt;$B$8),$A$72,#N/A)</f>
        <v>#REF!</v>
      </c>
      <c r="E72" t="e">
        <f>IF(OR(AND($A$72&lt;$B$5,$A$72&gt;=$B$6),AND($A$72&gt;$B$7,$A$72&lt;=$B$8)),$A$72,#N/A)</f>
        <v>#REF!</v>
      </c>
      <c r="F72" t="e">
        <f>IF(OR(AND($A$72&lt;$B$2,$A$72&gt;=$B$5),AND($A$72&gt;$B$4,$A$72&lt;=$B$7)),$A$72,"")</f>
        <v>#REF!</v>
      </c>
    </row>
    <row r="73" spans="1:6" ht="12.75">
      <c r="A73" t="e">
        <f>IF(ISBLANK(#REF!),"",#REF!)</f>
        <v>#REF!</v>
      </c>
      <c r="C73">
        <v>0.5</v>
      </c>
      <c r="D73" t="e">
        <f>IF(OR($A$73&lt;$B$6,$A$73&gt;$B$8),$A$73,#N/A)</f>
        <v>#REF!</v>
      </c>
      <c r="E73" t="e">
        <f>IF(OR(AND($A$73&lt;$B$5,$A$73&gt;=$B$6),AND($A$73&gt;$B$7,$A$73&lt;=$B$8)),$A$73,#N/A)</f>
        <v>#REF!</v>
      </c>
      <c r="F73" t="e">
        <f>IF(OR(AND($A$73&lt;$B$2,$A$73&gt;=$B$5),AND($A$73&gt;$B$4,$A$73&lt;=$B$7)),$A$73,"")</f>
        <v>#REF!</v>
      </c>
    </row>
    <row r="74" spans="1:6" ht="12.75">
      <c r="A74" t="e">
        <f>IF(ISBLANK(#REF!),"",#REF!)</f>
        <v>#REF!</v>
      </c>
      <c r="C74">
        <v>0.5</v>
      </c>
      <c r="D74" t="e">
        <f>IF(OR($A$74&lt;$B$6,$A$74&gt;$B$8),$A$74,#N/A)</f>
        <v>#REF!</v>
      </c>
      <c r="E74" t="e">
        <f>IF(OR(AND($A$74&lt;$B$5,$A$74&gt;=$B$6),AND($A$74&gt;$B$7,$A$74&lt;=$B$8)),$A$74,#N/A)</f>
        <v>#REF!</v>
      </c>
      <c r="F74" t="e">
        <f>IF(OR(AND($A$74&lt;$B$2,$A$74&gt;=$B$5),AND($A$74&gt;$B$4,$A$74&lt;=$B$7)),$A$74,"")</f>
        <v>#REF!</v>
      </c>
    </row>
    <row r="75" spans="1:6" ht="12.75">
      <c r="A75" t="e">
        <f>IF(ISBLANK(#REF!),"",#REF!)</f>
        <v>#REF!</v>
      </c>
      <c r="C75">
        <v>0.5</v>
      </c>
      <c r="D75" t="e">
        <f>IF(OR($A$75&lt;$B$6,$A$75&gt;$B$8),$A$75,#N/A)</f>
        <v>#REF!</v>
      </c>
      <c r="E75" t="e">
        <f>IF(OR(AND($A$75&lt;$B$5,$A$75&gt;=$B$6),AND($A$75&gt;$B$7,$A$75&lt;=$B$8)),$A$75,#N/A)</f>
        <v>#REF!</v>
      </c>
      <c r="F75" t="e">
        <f>IF(OR(AND($A$75&lt;$B$2,$A$75&gt;=$B$5),AND($A$75&gt;$B$4,$A$75&lt;=$B$7)),$A$75,"")</f>
        <v>#REF!</v>
      </c>
    </row>
    <row r="76" spans="1:6" ht="12.75">
      <c r="A76" t="e">
        <f>IF(ISBLANK(#REF!),"",#REF!)</f>
        <v>#REF!</v>
      </c>
      <c r="C76">
        <v>0.5</v>
      </c>
      <c r="D76" t="e">
        <f>IF(OR($A$76&lt;$B$6,$A$76&gt;$B$8),$A$76,#N/A)</f>
        <v>#REF!</v>
      </c>
      <c r="E76" t="e">
        <f>IF(OR(AND($A$76&lt;$B$5,$A$76&gt;=$B$6),AND($A$76&gt;$B$7,$A$76&lt;=$B$8)),$A$76,#N/A)</f>
        <v>#REF!</v>
      </c>
      <c r="F76" t="e">
        <f>IF(OR(AND($A$76&lt;$B$2,$A$76&gt;=$B$5),AND($A$76&gt;$B$4,$A$76&lt;=$B$7)),$A$76,"")</f>
        <v>#REF!</v>
      </c>
    </row>
    <row r="77" spans="1:6" ht="12.75">
      <c r="A77" t="e">
        <f>IF(ISBLANK(#REF!),"",#REF!)</f>
        <v>#REF!</v>
      </c>
      <c r="C77">
        <v>0.5</v>
      </c>
      <c r="D77" t="e">
        <f>IF(OR($A$77&lt;$B$6,$A$77&gt;$B$8),$A$77,#N/A)</f>
        <v>#REF!</v>
      </c>
      <c r="E77" t="e">
        <f>IF(OR(AND($A$77&lt;$B$5,$A$77&gt;=$B$6),AND($A$77&gt;$B$7,$A$77&lt;=$B$8)),$A$77,#N/A)</f>
        <v>#REF!</v>
      </c>
      <c r="F77" t="e">
        <f>IF(OR(AND($A$77&lt;$B$2,$A$77&gt;=$B$5),AND($A$77&gt;$B$4,$A$77&lt;=$B$7)),$A$77,"")</f>
        <v>#REF!</v>
      </c>
    </row>
    <row r="78" spans="1:6" ht="12.75">
      <c r="A78" t="e">
        <f>IF(ISBLANK(#REF!),"",#REF!)</f>
        <v>#REF!</v>
      </c>
      <c r="C78">
        <v>0.5</v>
      </c>
      <c r="D78" t="e">
        <f>IF(OR($A$78&lt;$B$6,$A$78&gt;$B$8),$A$78,#N/A)</f>
        <v>#REF!</v>
      </c>
      <c r="E78" t="e">
        <f>IF(OR(AND($A$78&lt;$B$5,$A$78&gt;=$B$6),AND($A$78&gt;$B$7,$A$78&lt;=$B$8)),$A$78,#N/A)</f>
        <v>#REF!</v>
      </c>
      <c r="F78" t="e">
        <f>IF(OR(AND($A$78&lt;$B$2,$A$78&gt;=$B$5),AND($A$78&gt;$B$4,$A$78&lt;=$B$7)),$A$78,"")</f>
        <v>#REF!</v>
      </c>
    </row>
    <row r="79" spans="1:6" ht="12.75">
      <c r="A79" t="e">
        <f>IF(ISBLANK(#REF!),"",#REF!)</f>
        <v>#REF!</v>
      </c>
      <c r="C79">
        <v>0.5</v>
      </c>
      <c r="D79" t="e">
        <f>IF(OR($A$79&lt;$B$6,$A$79&gt;$B$8),$A$79,#N/A)</f>
        <v>#REF!</v>
      </c>
      <c r="E79" t="e">
        <f>IF(OR(AND($A$79&lt;$B$5,$A$79&gt;=$B$6),AND($A$79&gt;$B$7,$A$79&lt;=$B$8)),$A$79,#N/A)</f>
        <v>#REF!</v>
      </c>
      <c r="F79" t="e">
        <f>IF(OR(AND($A$79&lt;$B$2,$A$79&gt;=$B$5),AND($A$79&gt;$B$4,$A$79&lt;=$B$7)),$A$79,"")</f>
        <v>#REF!</v>
      </c>
    </row>
    <row r="80" spans="1:6" ht="12.75">
      <c r="A80" t="e">
        <f>IF(ISBLANK(#REF!),"",#REF!)</f>
        <v>#REF!</v>
      </c>
      <c r="C80">
        <v>0.5</v>
      </c>
      <c r="D80" t="e">
        <f>IF(OR($A$80&lt;$B$6,$A$80&gt;$B$8),$A$80,#N/A)</f>
        <v>#REF!</v>
      </c>
      <c r="E80" t="e">
        <f>IF(OR(AND($A$80&lt;$B$5,$A$80&gt;=$B$6),AND($A$80&gt;$B$7,$A$80&lt;=$B$8)),$A$80,#N/A)</f>
        <v>#REF!</v>
      </c>
      <c r="F80" t="e">
        <f>IF(OR(AND($A$80&lt;$B$2,$A$80&gt;=$B$5),AND($A$80&gt;$B$4,$A$80&lt;=$B$7)),$A$80,"")</f>
        <v>#REF!</v>
      </c>
    </row>
    <row r="81" spans="1:6" ht="12.75">
      <c r="A81" t="e">
        <f>IF(ISBLANK(#REF!),"",#REF!)</f>
        <v>#REF!</v>
      </c>
      <c r="C81">
        <v>0.5</v>
      </c>
      <c r="D81" t="e">
        <f>IF(OR($A$81&lt;$B$6,$A$81&gt;$B$8),$A$81,#N/A)</f>
        <v>#REF!</v>
      </c>
      <c r="E81" t="e">
        <f>IF(OR(AND($A$81&lt;$B$5,$A$81&gt;=$B$6),AND($A$81&gt;$B$7,$A$81&lt;=$B$8)),$A$81,#N/A)</f>
        <v>#REF!</v>
      </c>
      <c r="F81" t="e">
        <f>IF(OR(AND($A$81&lt;$B$2,$A$81&gt;=$B$5),AND($A$81&gt;$B$4,$A$81&lt;=$B$7)),$A$81,"")</f>
        <v>#REF!</v>
      </c>
    </row>
    <row r="82" spans="1:6" ht="12.75">
      <c r="A82" t="e">
        <f>IF(ISBLANK(#REF!),"",#REF!)</f>
        <v>#REF!</v>
      </c>
      <c r="C82">
        <v>0.5</v>
      </c>
      <c r="D82" t="e">
        <f>IF(OR($A$82&lt;$B$6,$A$82&gt;$B$8),$A$82,#N/A)</f>
        <v>#REF!</v>
      </c>
      <c r="E82" t="e">
        <f>IF(OR(AND($A$82&lt;$B$5,$A$82&gt;=$B$6),AND($A$82&gt;$B$7,$A$82&lt;=$B$8)),$A$82,#N/A)</f>
        <v>#REF!</v>
      </c>
      <c r="F82" t="e">
        <f>IF(OR(AND($A$82&lt;$B$2,$A$82&gt;=$B$5),AND($A$82&gt;$B$4,$A$82&lt;=$B$7)),$A$82,"")</f>
        <v>#REF!</v>
      </c>
    </row>
    <row r="83" spans="1:6" ht="12.75">
      <c r="A83" t="e">
        <f>IF(ISBLANK(#REF!),"",#REF!)</f>
        <v>#REF!</v>
      </c>
      <c r="C83">
        <v>0.5</v>
      </c>
      <c r="D83" t="e">
        <f>IF(OR($A$83&lt;$B$6,$A$83&gt;$B$8),$A$83,#N/A)</f>
        <v>#REF!</v>
      </c>
      <c r="E83" t="e">
        <f>IF(OR(AND($A$83&lt;$B$5,$A$83&gt;=$B$6),AND($A$83&gt;$B$7,$A$83&lt;=$B$8)),$A$83,#N/A)</f>
        <v>#REF!</v>
      </c>
      <c r="F83" t="e">
        <f>IF(OR(AND($A$83&lt;$B$2,$A$83&gt;=$B$5),AND($A$83&gt;$B$4,$A$83&lt;=$B$7)),$A$83,"")</f>
        <v>#REF!</v>
      </c>
    </row>
    <row r="84" spans="1:6" ht="12.75">
      <c r="A84" t="e">
        <f>IF(ISBLANK(#REF!),"",#REF!)</f>
        <v>#REF!</v>
      </c>
      <c r="C84">
        <v>0.5</v>
      </c>
      <c r="D84" t="e">
        <f>IF(OR($A$84&lt;$B$6,$A$84&gt;$B$8),$A$84,#N/A)</f>
        <v>#REF!</v>
      </c>
      <c r="E84" t="e">
        <f>IF(OR(AND($A$84&lt;$B$5,$A$84&gt;=$B$6),AND($A$84&gt;$B$7,$A$84&lt;=$B$8)),$A$84,#N/A)</f>
        <v>#REF!</v>
      </c>
      <c r="F84" t="e">
        <f>IF(OR(AND($A$84&lt;$B$2,$A$84&gt;=$B$5),AND($A$84&gt;$B$4,$A$84&lt;=$B$7)),$A$84,"")</f>
        <v>#REF!</v>
      </c>
    </row>
    <row r="85" spans="1:6" ht="12.75">
      <c r="A85" t="e">
        <f>IF(ISBLANK(#REF!),"",#REF!)</f>
        <v>#REF!</v>
      </c>
      <c r="C85">
        <v>0.5</v>
      </c>
      <c r="D85" t="e">
        <f>IF(OR($A$85&lt;$B$6,$A$85&gt;$B$8),$A$85,#N/A)</f>
        <v>#REF!</v>
      </c>
      <c r="E85" t="e">
        <f>IF(OR(AND($A$85&lt;$B$5,$A$85&gt;=$B$6),AND($A$85&gt;$B$7,$A$85&lt;=$B$8)),$A$85,#N/A)</f>
        <v>#REF!</v>
      </c>
      <c r="F85" t="e">
        <f>IF(OR(AND($A$85&lt;$B$2,$A$85&gt;=$B$5),AND($A$85&gt;$B$4,$A$85&lt;=$B$7)),$A$85,"")</f>
        <v>#REF!</v>
      </c>
    </row>
    <row r="86" spans="1:6" ht="12.75">
      <c r="A86" t="e">
        <f>IF(ISBLANK(#REF!),"",#REF!)</f>
        <v>#REF!</v>
      </c>
      <c r="C86">
        <v>0.5</v>
      </c>
      <c r="D86" t="e">
        <f>IF(OR($A$86&lt;$B$6,$A$86&gt;$B$8),$A$86,#N/A)</f>
        <v>#REF!</v>
      </c>
      <c r="E86" t="e">
        <f>IF(OR(AND($A$86&lt;$B$5,$A$86&gt;=$B$6),AND($A$86&gt;$B$7,$A$86&lt;=$B$8)),$A$86,#N/A)</f>
        <v>#REF!</v>
      </c>
      <c r="F86" t="e">
        <f>IF(OR(AND($A$86&lt;$B$2,$A$86&gt;=$B$5),AND($A$86&gt;$B$4,$A$86&lt;=$B$7)),$A$86,"")</f>
        <v>#REF!</v>
      </c>
    </row>
    <row r="87" spans="1:6" ht="12.75">
      <c r="A87" t="e">
        <f>IF(ISBLANK(#REF!),"",#REF!)</f>
        <v>#REF!</v>
      </c>
      <c r="C87">
        <v>0.5</v>
      </c>
      <c r="D87" t="e">
        <f>IF(OR($A$87&lt;$B$6,$A$87&gt;$B$8),$A$87,#N/A)</f>
        <v>#REF!</v>
      </c>
      <c r="E87" t="e">
        <f>IF(OR(AND($A$87&lt;$B$5,$A$87&gt;=$B$6),AND($A$87&gt;$B$7,$A$87&lt;=$B$8)),$A$87,#N/A)</f>
        <v>#REF!</v>
      </c>
      <c r="F87" t="e">
        <f>IF(OR(AND($A$87&lt;$B$2,$A$87&gt;=$B$5),AND($A$87&gt;$B$4,$A$87&lt;=$B$7)),$A$87,"")</f>
        <v>#REF!</v>
      </c>
    </row>
    <row r="88" spans="1:6" ht="12.75">
      <c r="A88" t="e">
        <f>IF(ISBLANK(#REF!),"",#REF!)</f>
        <v>#REF!</v>
      </c>
      <c r="C88">
        <v>0.5</v>
      </c>
      <c r="D88" t="e">
        <f>IF(OR($A$88&lt;$B$6,$A$88&gt;$B$8),$A$88,#N/A)</f>
        <v>#REF!</v>
      </c>
      <c r="E88" t="e">
        <f>IF(OR(AND($A$88&lt;$B$5,$A$88&gt;=$B$6),AND($A$88&gt;$B$7,$A$88&lt;=$B$8)),$A$88,#N/A)</f>
        <v>#REF!</v>
      </c>
      <c r="F88" t="e">
        <f>IF(OR(AND($A$88&lt;$B$2,$A$88&gt;=$B$5),AND($A$88&gt;$B$4,$A$88&lt;=$B$7)),$A$88,"")</f>
        <v>#REF!</v>
      </c>
    </row>
    <row r="89" spans="1:6" ht="12.75">
      <c r="A89" t="e">
        <f>IF(ISBLANK(#REF!),"",#REF!)</f>
        <v>#REF!</v>
      </c>
      <c r="C89">
        <v>0.5</v>
      </c>
      <c r="D89" t="e">
        <f>IF(OR($A$89&lt;$B$6,$A$89&gt;$B$8),$A$89,#N/A)</f>
        <v>#REF!</v>
      </c>
      <c r="E89" t="e">
        <f>IF(OR(AND($A$89&lt;$B$5,$A$89&gt;=$B$6),AND($A$89&gt;$B$7,$A$89&lt;=$B$8)),$A$89,#N/A)</f>
        <v>#REF!</v>
      </c>
      <c r="F89" t="e">
        <f>IF(OR(AND($A$89&lt;$B$2,$A$89&gt;=$B$5),AND($A$89&gt;$B$4,$A$89&lt;=$B$7)),$A$89,"")</f>
        <v>#REF!</v>
      </c>
    </row>
    <row r="90" spans="1:6" ht="12.75">
      <c r="A90" t="e">
        <f>IF(ISBLANK(#REF!),"",#REF!)</f>
        <v>#REF!</v>
      </c>
      <c r="C90">
        <v>0.5</v>
      </c>
      <c r="D90" t="e">
        <f>IF(OR($A$90&lt;$B$6,$A$90&gt;$B$8),$A$90,#N/A)</f>
        <v>#REF!</v>
      </c>
      <c r="E90" t="e">
        <f>IF(OR(AND($A$90&lt;$B$5,$A$90&gt;=$B$6),AND($A$90&gt;$B$7,$A$90&lt;=$B$8)),$A$90,#N/A)</f>
        <v>#REF!</v>
      </c>
      <c r="F90" t="e">
        <f>IF(OR(AND($A$90&lt;$B$2,$A$90&gt;=$B$5),AND($A$90&gt;$B$4,$A$90&lt;=$B$7)),$A$90,"")</f>
        <v>#REF!</v>
      </c>
    </row>
    <row r="91" spans="1:6" ht="12.75">
      <c r="A91" t="e">
        <f>IF(ISBLANK(#REF!),"",#REF!)</f>
        <v>#REF!</v>
      </c>
      <c r="C91">
        <v>0.5</v>
      </c>
      <c r="D91" t="e">
        <f>IF(OR($A$91&lt;$B$6,$A$91&gt;$B$8),$A$91,#N/A)</f>
        <v>#REF!</v>
      </c>
      <c r="E91" t="e">
        <f>IF(OR(AND($A$91&lt;$B$5,$A$91&gt;=$B$6),AND($A$91&gt;$B$7,$A$91&lt;=$B$8)),$A$91,#N/A)</f>
        <v>#REF!</v>
      </c>
      <c r="F91" t="e">
        <f>IF(OR(AND($A$91&lt;$B$2,$A$91&gt;=$B$5),AND($A$91&gt;$B$4,$A$91&lt;=$B$7)),$A$91,"")</f>
        <v>#REF!</v>
      </c>
    </row>
    <row r="92" spans="1:6" ht="12.75">
      <c r="A92" t="e">
        <f>IF(ISBLANK(#REF!),"",#REF!)</f>
        <v>#REF!</v>
      </c>
      <c r="C92">
        <v>0.5</v>
      </c>
      <c r="D92" t="e">
        <f>IF(OR($A$92&lt;$B$6,$A$92&gt;$B$8),$A$92,#N/A)</f>
        <v>#REF!</v>
      </c>
      <c r="E92" t="e">
        <f>IF(OR(AND($A$92&lt;$B$5,$A$92&gt;=$B$6),AND($A$92&gt;$B$7,$A$92&lt;=$B$8)),$A$92,#N/A)</f>
        <v>#REF!</v>
      </c>
      <c r="F92" t="e">
        <f>IF(OR(AND($A$92&lt;$B$2,$A$92&gt;=$B$5),AND($A$92&gt;$B$4,$A$92&lt;=$B$7)),$A$92,"")</f>
        <v>#REF!</v>
      </c>
    </row>
    <row r="93" spans="1:6" ht="12.75">
      <c r="A93" t="e">
        <f>IF(ISBLANK(#REF!),"",#REF!)</f>
        <v>#REF!</v>
      </c>
      <c r="C93">
        <v>0.5</v>
      </c>
      <c r="D93" t="e">
        <f>IF(OR($A$93&lt;$B$6,$A$93&gt;$B$8),$A$93,#N/A)</f>
        <v>#REF!</v>
      </c>
      <c r="E93" t="e">
        <f>IF(OR(AND($A$93&lt;$B$5,$A$93&gt;=$B$6),AND($A$93&gt;$B$7,$A$93&lt;=$B$8)),$A$93,#N/A)</f>
        <v>#REF!</v>
      </c>
      <c r="F93" t="e">
        <f>IF(OR(AND($A$93&lt;$B$2,$A$93&gt;=$B$5),AND($A$93&gt;$B$4,$A$93&lt;=$B$7)),$A$93,"")</f>
        <v>#REF!</v>
      </c>
    </row>
    <row r="94" spans="1:6" ht="12.75">
      <c r="A94" t="e">
        <f>IF(ISBLANK(#REF!),"",#REF!)</f>
        <v>#REF!</v>
      </c>
      <c r="C94">
        <v>0.5</v>
      </c>
      <c r="D94" t="e">
        <f>IF(OR($A$94&lt;$B$6,$A$94&gt;$B$8),$A$94,#N/A)</f>
        <v>#REF!</v>
      </c>
      <c r="E94" t="e">
        <f>IF(OR(AND($A$94&lt;$B$5,$A$94&gt;=$B$6),AND($A$94&gt;$B$7,$A$94&lt;=$B$8)),$A$94,#N/A)</f>
        <v>#REF!</v>
      </c>
      <c r="F94" t="e">
        <f>IF(OR(AND($A$94&lt;$B$2,$A$94&gt;=$B$5),AND($A$94&gt;$B$4,$A$94&lt;=$B$7)),$A$94,"")</f>
        <v>#REF!</v>
      </c>
    </row>
    <row r="95" spans="1:6" ht="12.75">
      <c r="A95" t="e">
        <f>IF(ISBLANK(#REF!),"",#REF!)</f>
        <v>#REF!</v>
      </c>
      <c r="C95">
        <v>0.5</v>
      </c>
      <c r="D95" t="e">
        <f>IF(OR($A$95&lt;$B$6,$A$95&gt;$B$8),$A$95,#N/A)</f>
        <v>#REF!</v>
      </c>
      <c r="E95" t="e">
        <f>IF(OR(AND($A$95&lt;$B$5,$A$95&gt;=$B$6),AND($A$95&gt;$B$7,$A$95&lt;=$B$8)),$A$95,#N/A)</f>
        <v>#REF!</v>
      </c>
      <c r="F95" t="e">
        <f>IF(OR(AND($A$95&lt;$B$2,$A$95&gt;=$B$5),AND($A$95&gt;$B$4,$A$95&lt;=$B$7)),$A$95,"")</f>
        <v>#REF!</v>
      </c>
    </row>
    <row r="96" spans="1:6" ht="12.75">
      <c r="A96" t="e">
        <f>IF(ISBLANK(#REF!),"",#REF!)</f>
        <v>#REF!</v>
      </c>
      <c r="C96">
        <v>0.5</v>
      </c>
      <c r="D96" t="e">
        <f>IF(OR($A$96&lt;$B$6,$A$96&gt;$B$8),$A$96,#N/A)</f>
        <v>#REF!</v>
      </c>
      <c r="E96" t="e">
        <f>IF(OR(AND($A$96&lt;$B$5,$A$96&gt;=$B$6),AND($A$96&gt;$B$7,$A$96&lt;=$B$8)),$A$96,#N/A)</f>
        <v>#REF!</v>
      </c>
      <c r="F96" t="e">
        <f>IF(OR(AND($A$96&lt;$B$2,$A$96&gt;=$B$5),AND($A$96&gt;$B$4,$A$96&lt;=$B$7)),$A$96,"")</f>
        <v>#REF!</v>
      </c>
    </row>
    <row r="97" spans="1:6" ht="12.75">
      <c r="A97" t="e">
        <f>IF(ISBLANK(#REF!),"",#REF!)</f>
        <v>#REF!</v>
      </c>
      <c r="C97">
        <v>0.5</v>
      </c>
      <c r="D97" t="e">
        <f>IF(OR($A$97&lt;$B$6,$A$97&gt;$B$8),$A$97,#N/A)</f>
        <v>#REF!</v>
      </c>
      <c r="E97" t="e">
        <f>IF(OR(AND($A$97&lt;$B$5,$A$97&gt;=$B$6),AND($A$97&gt;$B$7,$A$97&lt;=$B$8)),$A$97,#N/A)</f>
        <v>#REF!</v>
      </c>
      <c r="F97" t="e">
        <f>IF(OR(AND($A$97&lt;$B$2,$A$97&gt;=$B$5),AND($A$97&gt;$B$4,$A$97&lt;=$B$7)),$A$97,"")</f>
        <v>#REF!</v>
      </c>
    </row>
    <row r="98" spans="1:6" ht="12.75">
      <c r="A98" t="e">
        <f>IF(ISBLANK(#REF!),"",#REF!)</f>
        <v>#REF!</v>
      </c>
      <c r="C98">
        <v>0.5</v>
      </c>
      <c r="D98" t="e">
        <f>IF(OR($A$98&lt;$B$6,$A$98&gt;$B$8),$A$98,#N/A)</f>
        <v>#REF!</v>
      </c>
      <c r="E98" t="e">
        <f>IF(OR(AND($A$98&lt;$B$5,$A$98&gt;=$B$6),AND($A$98&gt;$B$7,$A$98&lt;=$B$8)),$A$98,#N/A)</f>
        <v>#REF!</v>
      </c>
      <c r="F98" t="e">
        <f>IF(OR(AND($A$98&lt;$B$2,$A$98&gt;=$B$5),AND($A$98&gt;$B$4,$A$98&lt;=$B$7)),$A$98,"")</f>
        <v>#REF!</v>
      </c>
    </row>
    <row r="99" spans="1:6" ht="12.75">
      <c r="A99" t="e">
        <f>IF(ISBLANK(#REF!),"",#REF!)</f>
        <v>#REF!</v>
      </c>
      <c r="C99">
        <v>0.5</v>
      </c>
      <c r="D99" t="e">
        <f>IF(OR($A$99&lt;$B$6,$A$99&gt;$B$8),$A$99,#N/A)</f>
        <v>#REF!</v>
      </c>
      <c r="E99" t="e">
        <f>IF(OR(AND($A$99&lt;$B$5,$A$99&gt;=$B$6),AND($A$99&gt;$B$7,$A$99&lt;=$B$8)),$A$99,#N/A)</f>
        <v>#REF!</v>
      </c>
      <c r="F99" t="e">
        <f>IF(OR(AND($A$99&lt;$B$2,$A$99&gt;=$B$5),AND($A$99&gt;$B$4,$A$99&lt;=$B$7)),$A$99,"")</f>
        <v>#REF!</v>
      </c>
    </row>
    <row r="100" spans="1:6" ht="12.75">
      <c r="A100" t="e">
        <f>IF(ISBLANK(#REF!),"",#REF!)</f>
        <v>#REF!</v>
      </c>
      <c r="C100">
        <v>0.5</v>
      </c>
      <c r="D100" t="e">
        <f>IF(OR($A$100&lt;$B$6,$A$100&gt;$B$8),$A$100,#N/A)</f>
        <v>#REF!</v>
      </c>
      <c r="E100" t="e">
        <f>IF(OR(AND($A$100&lt;$B$5,$A$100&gt;=$B$6),AND($A$100&gt;$B$7,$A$100&lt;=$B$8)),$A$100,#N/A)</f>
        <v>#REF!</v>
      </c>
      <c r="F100" t="e">
        <f>IF(OR(AND($A$100&lt;$B$2,$A$100&gt;=$B$5),AND($A$100&gt;$B$4,$A$100&lt;=$B$7)),$A$100,"")</f>
        <v>#REF!</v>
      </c>
    </row>
    <row r="101" spans="1:6" ht="12.75">
      <c r="A101" t="e">
        <f>IF(ISBLANK(#REF!),"",#REF!)</f>
        <v>#REF!</v>
      </c>
      <c r="C101">
        <v>0.5</v>
      </c>
      <c r="D101" t="e">
        <f>IF(OR($A$101&lt;$B$6,$A$101&gt;$B$8),$A$101,#N/A)</f>
        <v>#REF!</v>
      </c>
      <c r="E101" t="e">
        <f>IF(OR(AND($A$101&lt;$B$5,$A$101&gt;=$B$6),AND($A$101&gt;$B$7,$A$101&lt;=$B$8)),$A$101,#N/A)</f>
        <v>#REF!</v>
      </c>
      <c r="F101" t="e">
        <f>IF(OR(AND($A$101&lt;$B$2,$A$101&gt;=$B$5),AND($A$101&gt;$B$4,$A$101&lt;=$B$7)),$A$101,"")</f>
        <v>#REF!</v>
      </c>
    </row>
    <row r="102" spans="1:6" ht="12.75">
      <c r="A102" t="e">
        <f>IF(ISBLANK(#REF!),"",#REF!)</f>
        <v>#REF!</v>
      </c>
      <c r="C102">
        <v>0.5</v>
      </c>
      <c r="D102" t="e">
        <f>IF(OR($A$102&lt;$B$6,$A$102&gt;$B$8),$A$102,#N/A)</f>
        <v>#REF!</v>
      </c>
      <c r="E102" t="e">
        <f>IF(OR(AND($A$102&lt;$B$5,$A$102&gt;=$B$6),AND($A$102&gt;$B$7,$A$102&lt;=$B$8)),$A$102,#N/A)</f>
        <v>#REF!</v>
      </c>
      <c r="F102" t="e">
        <f>IF(OR(AND($A$102&lt;$B$2,$A$102&gt;=$B$5),AND($A$102&gt;$B$4,$A$102&lt;=$B$7)),$A$102,"")</f>
        <v>#REF!</v>
      </c>
    </row>
    <row r="103" spans="1:6" ht="12.75">
      <c r="A103" t="e">
        <f>IF(ISBLANK(#REF!),"",#REF!)</f>
        <v>#REF!</v>
      </c>
      <c r="C103">
        <v>0.5</v>
      </c>
      <c r="D103" t="e">
        <f>IF(OR($A$103&lt;$B$6,$A$103&gt;$B$8),$A$103,#N/A)</f>
        <v>#REF!</v>
      </c>
      <c r="E103" t="e">
        <f>IF(OR(AND($A$103&lt;$B$5,$A$103&gt;=$B$6),AND($A$103&gt;$B$7,$A$103&lt;=$B$8)),$A$103,#N/A)</f>
        <v>#REF!</v>
      </c>
      <c r="F103" t="e">
        <f>IF(OR(AND($A$103&lt;$B$2,$A$103&gt;=$B$5),AND($A$103&gt;$B$4,$A$103&lt;=$B$7)),$A$103,"")</f>
        <v>#REF!</v>
      </c>
    </row>
    <row r="104" spans="1:6" ht="12.75">
      <c r="A104" t="e">
        <f>IF(ISBLANK(#REF!),"",#REF!)</f>
        <v>#REF!</v>
      </c>
      <c r="C104">
        <v>0.5</v>
      </c>
      <c r="D104" t="e">
        <f>IF(OR($A$104&lt;$B$6,$A$104&gt;$B$8),$A$104,#N/A)</f>
        <v>#REF!</v>
      </c>
      <c r="E104" t="e">
        <f>IF(OR(AND($A$104&lt;$B$5,$A$104&gt;=$B$6),AND($A$104&gt;$B$7,$A$104&lt;=$B$8)),$A$104,#N/A)</f>
        <v>#REF!</v>
      </c>
      <c r="F104" t="e">
        <f>IF(OR(AND($A$104&lt;$B$2,$A$104&gt;=$B$5),AND($A$104&gt;$B$4,$A$104&lt;=$B$7)),$A$104,"")</f>
        <v>#REF!</v>
      </c>
    </row>
    <row r="105" spans="1:6" ht="12.75">
      <c r="A105" t="e">
        <f>IF(ISBLANK(#REF!),"",#REF!)</f>
        <v>#REF!</v>
      </c>
      <c r="C105">
        <v>0.5</v>
      </c>
      <c r="D105" t="e">
        <f>IF(OR($A$105&lt;$B$6,$A$105&gt;$B$8),$A$105,#N/A)</f>
        <v>#REF!</v>
      </c>
      <c r="E105" t="e">
        <f>IF(OR(AND($A$105&lt;$B$5,$A$105&gt;=$B$6),AND($A$105&gt;$B$7,$A$105&lt;=$B$8)),$A$105,#N/A)</f>
        <v>#REF!</v>
      </c>
      <c r="F105" t="e">
        <f>IF(OR(AND($A$105&lt;$B$2,$A$105&gt;=$B$5),AND($A$105&gt;$B$4,$A$105&lt;=$B$7)),$A$105,"")</f>
        <v>#REF!</v>
      </c>
    </row>
    <row r="106" spans="1:6" ht="12.75">
      <c r="A106" t="e">
        <f>IF(ISBLANK(#REF!),"",#REF!)</f>
        <v>#REF!</v>
      </c>
      <c r="C106">
        <v>0.5</v>
      </c>
      <c r="D106" t="e">
        <f>IF(OR($A$106&lt;$B$6,$A$106&gt;$B$8),$A$106,#N/A)</f>
        <v>#REF!</v>
      </c>
      <c r="E106" t="e">
        <f>IF(OR(AND($A$106&lt;$B$5,$A$106&gt;=$B$6),AND($A$106&gt;$B$7,$A$106&lt;=$B$8)),$A$106,#N/A)</f>
        <v>#REF!</v>
      </c>
      <c r="F106" t="e">
        <f>IF(OR(AND($A$106&lt;$B$2,$A$106&gt;=$B$5),AND($A$106&gt;$B$4,$A$106&lt;=$B$7)),$A$106,"")</f>
        <v>#REF!</v>
      </c>
    </row>
    <row r="107" spans="1:6" ht="12.75">
      <c r="A107" t="e">
        <f>IF(ISBLANK(#REF!),"",#REF!)</f>
        <v>#REF!</v>
      </c>
      <c r="C107">
        <v>0.5</v>
      </c>
      <c r="D107" t="e">
        <f>IF(OR($A$107&lt;$B$6,$A$107&gt;$B$8),$A$107,#N/A)</f>
        <v>#REF!</v>
      </c>
      <c r="E107" t="e">
        <f>IF(OR(AND($A$107&lt;$B$5,$A$107&gt;=$B$6),AND($A$107&gt;$B$7,$A$107&lt;=$B$8)),$A$107,#N/A)</f>
        <v>#REF!</v>
      </c>
      <c r="F107" t="e">
        <f>IF(OR(AND($A$107&lt;$B$2,$A$107&gt;=$B$5),AND($A$107&gt;$B$4,$A$107&lt;=$B$7)),$A$107,"")</f>
        <v>#REF!</v>
      </c>
    </row>
    <row r="108" spans="1:6" ht="12.75">
      <c r="A108" t="e">
        <f>IF(ISBLANK(#REF!),"",#REF!)</f>
        <v>#REF!</v>
      </c>
      <c r="C108">
        <v>0.5</v>
      </c>
      <c r="D108" t="e">
        <f>IF(OR($A$108&lt;$B$6,$A$108&gt;$B$8),$A$108,#N/A)</f>
        <v>#REF!</v>
      </c>
      <c r="E108" t="e">
        <f>IF(OR(AND($A$108&lt;$B$5,$A$108&gt;=$B$6),AND($A$108&gt;$B$7,$A$108&lt;=$B$8)),$A$108,#N/A)</f>
        <v>#REF!</v>
      </c>
      <c r="F108" t="e">
        <f>IF(OR(AND($A$108&lt;$B$2,$A$108&gt;=$B$5),AND($A$108&gt;$B$4,$A$108&lt;=$B$7)),$A$108,"")</f>
        <v>#REF!</v>
      </c>
    </row>
    <row r="109" spans="1:6" ht="12.75">
      <c r="A109" t="e">
        <f>IF(ISBLANK(#REF!),"",#REF!)</f>
        <v>#REF!</v>
      </c>
      <c r="C109">
        <v>0.5</v>
      </c>
      <c r="D109" t="e">
        <f>IF(OR($A$109&lt;$B$6,$A$109&gt;$B$8),$A$109,#N/A)</f>
        <v>#REF!</v>
      </c>
      <c r="E109" t="e">
        <f>IF(OR(AND($A$109&lt;$B$5,$A$109&gt;=$B$6),AND($A$109&gt;$B$7,$A$109&lt;=$B$8)),$A$109,#N/A)</f>
        <v>#REF!</v>
      </c>
      <c r="F109" t="e">
        <f>IF(OR(AND($A$109&lt;$B$2,$A$109&gt;=$B$5),AND($A$109&gt;$B$4,$A$109&lt;=$B$7)),$A$109,"")</f>
        <v>#REF!</v>
      </c>
    </row>
    <row r="110" spans="1:6" ht="12.75">
      <c r="A110" t="e">
        <f>IF(ISBLANK(#REF!),"",#REF!)</f>
        <v>#REF!</v>
      </c>
      <c r="C110">
        <v>0.5</v>
      </c>
      <c r="D110" t="e">
        <f>IF(OR($A$110&lt;$B$6,$A$110&gt;$B$8),$A$110,#N/A)</f>
        <v>#REF!</v>
      </c>
      <c r="E110" t="e">
        <f>IF(OR(AND($A$110&lt;$B$5,$A$110&gt;=$B$6),AND($A$110&gt;$B$7,$A$110&lt;=$B$8)),$A$110,#N/A)</f>
        <v>#REF!</v>
      </c>
      <c r="F110" t="e">
        <f>IF(OR(AND($A$110&lt;$B$2,$A$110&gt;=$B$5),AND($A$110&gt;$B$4,$A$110&lt;=$B$7)),$A$110,"")</f>
        <v>#REF!</v>
      </c>
    </row>
    <row r="111" spans="1:6" ht="12.75">
      <c r="A111" t="e">
        <f>IF(ISBLANK(#REF!),"",#REF!)</f>
        <v>#REF!</v>
      </c>
      <c r="C111">
        <v>0.5</v>
      </c>
      <c r="D111" t="e">
        <f>IF(OR($A$111&lt;$B$6,$A$111&gt;$B$8),$A$111,#N/A)</f>
        <v>#REF!</v>
      </c>
      <c r="E111" t="e">
        <f>IF(OR(AND($A$111&lt;$B$5,$A$111&gt;=$B$6),AND($A$111&gt;$B$7,$A$111&lt;=$B$8)),$A$111,#N/A)</f>
        <v>#REF!</v>
      </c>
      <c r="F111" t="e">
        <f>IF(OR(AND($A$111&lt;$B$2,$A$111&gt;=$B$5),AND($A$111&gt;$B$4,$A$111&lt;=$B$7)),$A$111,"")</f>
        <v>#REF!</v>
      </c>
    </row>
    <row r="112" spans="1:6" ht="12.75">
      <c r="A112" t="e">
        <f>IF(ISBLANK(#REF!),"",#REF!)</f>
        <v>#REF!</v>
      </c>
      <c r="C112">
        <v>0.5</v>
      </c>
      <c r="D112" t="e">
        <f>IF(OR($A$112&lt;$B$6,$A$112&gt;$B$8),$A$112,#N/A)</f>
        <v>#REF!</v>
      </c>
      <c r="E112" t="e">
        <f>IF(OR(AND($A$112&lt;$B$5,$A$112&gt;=$B$6),AND($A$112&gt;$B$7,$A$112&lt;=$B$8)),$A$112,#N/A)</f>
        <v>#REF!</v>
      </c>
      <c r="F112" t="e">
        <f>IF(OR(AND($A$112&lt;$B$2,$A$112&gt;=$B$5),AND($A$112&gt;$B$4,$A$112&lt;=$B$7)),$A$112,"")</f>
        <v>#REF!</v>
      </c>
    </row>
    <row r="113" spans="1:6" ht="12.75">
      <c r="A113" t="e">
        <f>IF(ISBLANK(#REF!),"",#REF!)</f>
        <v>#REF!</v>
      </c>
      <c r="C113">
        <v>0.5</v>
      </c>
      <c r="D113" t="e">
        <f>IF(OR($A$113&lt;$B$6,$A$113&gt;$B$8),$A$113,#N/A)</f>
        <v>#REF!</v>
      </c>
      <c r="E113" t="e">
        <f>IF(OR(AND($A$113&lt;$B$5,$A$113&gt;=$B$6),AND($A$113&gt;$B$7,$A$113&lt;=$B$8)),$A$113,#N/A)</f>
        <v>#REF!</v>
      </c>
      <c r="F113" t="e">
        <f>IF(OR(AND($A$113&lt;$B$2,$A$113&gt;=$B$5),AND($A$113&gt;$B$4,$A$113&lt;=$B$7)),$A$113,"")</f>
        <v>#REF!</v>
      </c>
    </row>
    <row r="114" spans="1:6" ht="12.75">
      <c r="A114" t="e">
        <f>IF(ISBLANK(#REF!),"",#REF!)</f>
        <v>#REF!</v>
      </c>
      <c r="C114">
        <v>0.5</v>
      </c>
      <c r="D114" t="e">
        <f>IF(OR($A$114&lt;$B$6,$A$114&gt;$B$8),$A$114,#N/A)</f>
        <v>#REF!</v>
      </c>
      <c r="E114" t="e">
        <f>IF(OR(AND($A$114&lt;$B$5,$A$114&gt;=$B$6),AND($A$114&gt;$B$7,$A$114&lt;=$B$8)),$A$114,#N/A)</f>
        <v>#REF!</v>
      </c>
      <c r="F114" t="e">
        <f>IF(OR(AND($A$114&lt;$B$2,$A$114&gt;=$B$5),AND($A$114&gt;$B$4,$A$114&lt;=$B$7)),$A$114,"")</f>
        <v>#REF!</v>
      </c>
    </row>
    <row r="115" spans="1:6" ht="12.75">
      <c r="A115" t="e">
        <f>IF(ISBLANK(#REF!),"",#REF!)</f>
        <v>#REF!</v>
      </c>
      <c r="C115">
        <v>0.5</v>
      </c>
      <c r="D115" t="e">
        <f>IF(OR($A$115&lt;$B$6,$A$115&gt;$B$8),$A$115,#N/A)</f>
        <v>#REF!</v>
      </c>
      <c r="E115" t="e">
        <f>IF(OR(AND($A$115&lt;$B$5,$A$115&gt;=$B$6),AND($A$115&gt;$B$7,$A$115&lt;=$B$8)),$A$115,#N/A)</f>
        <v>#REF!</v>
      </c>
      <c r="F115" t="e">
        <f>IF(OR(AND($A$115&lt;$B$2,$A$115&gt;=$B$5),AND($A$115&gt;$B$4,$A$115&lt;=$B$7)),$A$115,"")</f>
        <v>#REF!</v>
      </c>
    </row>
    <row r="116" spans="1:6" ht="12.75">
      <c r="A116" t="e">
        <f>IF(ISBLANK(#REF!),"",#REF!)</f>
        <v>#REF!</v>
      </c>
      <c r="C116">
        <v>0.5</v>
      </c>
      <c r="D116" t="e">
        <f>IF(OR($A$116&lt;$B$6,$A$116&gt;$B$8),$A$116,#N/A)</f>
        <v>#REF!</v>
      </c>
      <c r="E116" t="e">
        <f>IF(OR(AND($A$116&lt;$B$5,$A$116&gt;=$B$6),AND($A$116&gt;$B$7,$A$116&lt;=$B$8)),$A$116,#N/A)</f>
        <v>#REF!</v>
      </c>
      <c r="F116" t="e">
        <f>IF(OR(AND($A$116&lt;$B$2,$A$116&gt;=$B$5),AND($A$116&gt;$B$4,$A$116&lt;=$B$7)),$A$116,"")</f>
        <v>#REF!</v>
      </c>
    </row>
    <row r="117" spans="1:6" ht="12.75">
      <c r="A117" t="e">
        <f>IF(ISBLANK(#REF!),"",#REF!)</f>
        <v>#REF!</v>
      </c>
      <c r="C117">
        <v>0.5</v>
      </c>
      <c r="D117" t="e">
        <f>IF(OR($A$117&lt;$B$6,$A$117&gt;$B$8),$A$117,#N/A)</f>
        <v>#REF!</v>
      </c>
      <c r="E117" t="e">
        <f>IF(OR(AND($A$117&lt;$B$5,$A$117&gt;=$B$6),AND($A$117&gt;$B$7,$A$117&lt;=$B$8)),$A$117,#N/A)</f>
        <v>#REF!</v>
      </c>
      <c r="F117" t="e">
        <f>IF(OR(AND($A$117&lt;$B$2,$A$117&gt;=$B$5),AND($A$117&gt;$B$4,$A$117&lt;=$B$7)),$A$117,"")</f>
        <v>#REF!</v>
      </c>
    </row>
    <row r="118" spans="1:6" ht="12.75">
      <c r="A118" t="e">
        <f>IF(ISBLANK(#REF!),"",#REF!)</f>
        <v>#REF!</v>
      </c>
      <c r="C118">
        <v>0.5</v>
      </c>
      <c r="D118" t="e">
        <f>IF(OR($A$118&lt;$B$6,$A$118&gt;$B$8),$A$118,#N/A)</f>
        <v>#REF!</v>
      </c>
      <c r="E118" t="e">
        <f>IF(OR(AND($A$118&lt;$B$5,$A$118&gt;=$B$6),AND($A$118&gt;$B$7,$A$118&lt;=$B$8)),$A$118,#N/A)</f>
        <v>#REF!</v>
      </c>
      <c r="F118" t="e">
        <f>IF(OR(AND($A$118&lt;$B$2,$A$118&gt;=$B$5),AND($A$118&gt;$B$4,$A$118&lt;=$B$7)),$A$118,"")</f>
        <v>#REF!</v>
      </c>
    </row>
    <row r="119" spans="1:6" ht="12.75">
      <c r="A119" t="e">
        <f>IF(ISBLANK(#REF!),"",#REF!)</f>
        <v>#REF!</v>
      </c>
      <c r="C119">
        <v>0.5</v>
      </c>
      <c r="D119" t="e">
        <f>IF(OR($A$119&lt;$B$6,$A$119&gt;$B$8),$A$119,#N/A)</f>
        <v>#REF!</v>
      </c>
      <c r="E119" t="e">
        <f>IF(OR(AND($A$119&lt;$B$5,$A$119&gt;=$B$6),AND($A$119&gt;$B$7,$A$119&lt;=$B$8)),$A$119,#N/A)</f>
        <v>#REF!</v>
      </c>
      <c r="F119" t="e">
        <f>IF(OR(AND($A$119&lt;$B$2,$A$119&gt;=$B$5),AND($A$119&gt;$B$4,$A$119&lt;=$B$7)),$A$119,"")</f>
        <v>#REF!</v>
      </c>
    </row>
    <row r="120" spans="1:6" ht="12.75">
      <c r="A120" t="e">
        <f>IF(ISBLANK(#REF!),"",#REF!)</f>
        <v>#REF!</v>
      </c>
      <c r="C120">
        <v>0.5</v>
      </c>
      <c r="D120" t="e">
        <f>IF(OR($A$120&lt;$B$6,$A$120&gt;$B$8),$A$120,#N/A)</f>
        <v>#REF!</v>
      </c>
      <c r="E120" t="e">
        <f>IF(OR(AND($A$120&lt;$B$5,$A$120&gt;=$B$6),AND($A$120&gt;$B$7,$A$120&lt;=$B$8)),$A$120,#N/A)</f>
        <v>#REF!</v>
      </c>
      <c r="F120" t="e">
        <f>IF(OR(AND($A$120&lt;$B$2,$A$120&gt;=$B$5),AND($A$120&gt;$B$4,$A$120&lt;=$B$7)),$A$120,"")</f>
        <v>#REF!</v>
      </c>
    </row>
    <row r="121" spans="1:6" ht="12.75">
      <c r="A121" t="e">
        <f>IF(ISBLANK(#REF!),"",#REF!)</f>
        <v>#REF!</v>
      </c>
      <c r="C121">
        <v>0.5</v>
      </c>
      <c r="D121" t="e">
        <f>IF(OR($A$121&lt;$B$6,$A$121&gt;$B$8),$A$121,#N/A)</f>
        <v>#REF!</v>
      </c>
      <c r="E121" t="e">
        <f>IF(OR(AND($A$121&lt;$B$5,$A$121&gt;=$B$6),AND($A$121&gt;$B$7,$A$121&lt;=$B$8)),$A$121,#N/A)</f>
        <v>#REF!</v>
      </c>
      <c r="F121" t="e">
        <f>IF(OR(AND($A$121&lt;$B$2,$A$121&gt;=$B$5),AND($A$121&gt;$B$4,$A$121&lt;=$B$7)),$A$121,"")</f>
        <v>#REF!</v>
      </c>
    </row>
    <row r="122" spans="1:6" ht="12.75">
      <c r="A122" t="e">
        <f>IF(ISBLANK(#REF!),"",#REF!)</f>
        <v>#REF!</v>
      </c>
      <c r="C122">
        <v>0.5</v>
      </c>
      <c r="D122" t="e">
        <f>IF(OR($A$122&lt;$B$6,$A$122&gt;$B$8),$A$122,#N/A)</f>
        <v>#REF!</v>
      </c>
      <c r="E122" t="e">
        <f>IF(OR(AND($A$122&lt;$B$5,$A$122&gt;=$B$6),AND($A$122&gt;$B$7,$A$122&lt;=$B$8)),$A$122,#N/A)</f>
        <v>#REF!</v>
      </c>
      <c r="F122" t="e">
        <f>IF(OR(AND($A$122&lt;$B$2,$A$122&gt;=$B$5),AND($A$122&gt;$B$4,$A$122&lt;=$B$7)),$A$122,"")</f>
        <v>#REF!</v>
      </c>
    </row>
    <row r="123" spans="1:6" ht="12.75">
      <c r="A123" t="e">
        <f>IF(ISBLANK(#REF!),"",#REF!)</f>
        <v>#REF!</v>
      </c>
      <c r="C123">
        <v>0.5</v>
      </c>
      <c r="D123" t="e">
        <f>IF(OR($A$123&lt;$B$6,$A$123&gt;$B$8),$A$123,#N/A)</f>
        <v>#REF!</v>
      </c>
      <c r="E123" t="e">
        <f>IF(OR(AND($A$123&lt;$B$5,$A$123&gt;=$B$6),AND($A$123&gt;$B$7,$A$123&lt;=$B$8)),$A$123,#N/A)</f>
        <v>#REF!</v>
      </c>
      <c r="F123" t="e">
        <f>IF(OR(AND($A$123&lt;$B$2,$A$123&gt;=$B$5),AND($A$123&gt;$B$4,$A$123&lt;=$B$7)),$A$123,"")</f>
        <v>#REF!</v>
      </c>
    </row>
    <row r="124" spans="1:6" ht="12.75">
      <c r="A124" t="e">
        <f>IF(ISBLANK(#REF!),"",#REF!)</f>
        <v>#REF!</v>
      </c>
      <c r="C124">
        <v>0.5</v>
      </c>
      <c r="D124" t="e">
        <f>IF(OR($A$124&lt;$B$6,$A$124&gt;$B$8),$A$124,#N/A)</f>
        <v>#REF!</v>
      </c>
      <c r="E124" t="e">
        <f>IF(OR(AND($A$124&lt;$B$5,$A$124&gt;=$B$6),AND($A$124&gt;$B$7,$A$124&lt;=$B$8)),$A$124,#N/A)</f>
        <v>#REF!</v>
      </c>
      <c r="F124" t="e">
        <f>IF(OR(AND($A$124&lt;$B$2,$A$124&gt;=$B$5),AND($A$124&gt;$B$4,$A$124&lt;=$B$7)),$A$124,"")</f>
        <v>#REF!</v>
      </c>
    </row>
    <row r="125" spans="1:6" ht="12.75">
      <c r="A125" t="e">
        <f>IF(ISBLANK(#REF!),"",#REF!)</f>
        <v>#REF!</v>
      </c>
      <c r="C125">
        <v>0.5</v>
      </c>
      <c r="D125" t="e">
        <f>IF(OR($A$125&lt;$B$6,$A$125&gt;$B$8),$A$125,#N/A)</f>
        <v>#REF!</v>
      </c>
      <c r="E125" t="e">
        <f>IF(OR(AND($A$125&lt;$B$5,$A$125&gt;=$B$6),AND($A$125&gt;$B$7,$A$125&lt;=$B$8)),$A$125,#N/A)</f>
        <v>#REF!</v>
      </c>
      <c r="F125" t="e">
        <f>IF(OR(AND($A$125&lt;$B$2,$A$125&gt;=$B$5),AND($A$125&gt;$B$4,$A$125&lt;=$B$7)),$A$125,"")</f>
        <v>#REF!</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Yonetimi - Bolum 1</dc:title>
  <dc:subject>Risk Getiri Algılaması</dc:subject>
  <dc:creator>K.Evren BOLGUN &amp; M.Barıs AKCAY</dc:creator>
  <cp:keywords/>
  <dc:description/>
  <cp:lastModifiedBy>EVREN</cp:lastModifiedBy>
  <cp:lastPrinted>1999-08-12T15:08:59Z</cp:lastPrinted>
  <dcterms:created xsi:type="dcterms:W3CDTF">1998-12-31T20:53:28Z</dcterms:created>
  <dcterms:modified xsi:type="dcterms:W3CDTF">2018-01-10T08:35:51Z</dcterms:modified>
  <cp:category/>
  <cp:version/>
  <cp:contentType/>
  <cp:contentStatus/>
</cp:coreProperties>
</file>